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Sales" sheetId="2" state="visible" r:id="rId2"/>
    <sheet xmlns:r="http://schemas.openxmlformats.org/officeDocument/2006/relationships" name="Залишки складу" sheetId="3" state="visible" r:id="rId3"/>
    <sheet xmlns:r="http://schemas.openxmlformats.org/officeDocument/2006/relationships" name="Статуси і канали" sheetId="4" state="visible" r:id="rId4"/>
    <sheet xmlns:r="http://schemas.openxmlformats.org/officeDocument/2006/relationships" name="Шоурум" sheetId="5" state="visible" r:id="rId5"/>
    <sheet xmlns:r="http://schemas.openxmlformats.org/officeDocument/2006/relationships" name="B2B модель" sheetId="6" state="visible" r:id="rId6"/>
    <sheet xmlns:r="http://schemas.openxmlformats.org/officeDocument/2006/relationships" name="Повернення" sheetId="7" state="visible" r:id="rId7"/>
    <sheet xmlns:r="http://schemas.openxmlformats.org/officeDocument/2006/relationships" name="SKU Economics" sheetId="8" state="visible" r:id="rId8"/>
    <sheet xmlns:r="http://schemas.openxmlformats.org/officeDocument/2006/relationships" name="Собівартість" sheetId="9" state="visible" r:id="rId9"/>
    <sheet xmlns:r="http://schemas.openxmlformats.org/officeDocument/2006/relationships" name="B2B ціни" sheetId="10" state="visible" r:id="rId10"/>
    <sheet xmlns:r="http://schemas.openxmlformats.org/officeDocument/2006/relationships" name="Cash Flow" sheetId="11" state="visible" r:id="rId11"/>
    <sheet xmlns:r="http://schemas.openxmlformats.org/officeDocument/2006/relationships" name="Break-even" sheetId="12" state="visible" r:id="rId12"/>
    <sheet xmlns:r="http://schemas.openxmlformats.org/officeDocument/2006/relationships" name="Юніт-економіка" sheetId="13" state="visible" r:id="rId13"/>
    <sheet xmlns:r="http://schemas.openxmlformats.org/officeDocument/2006/relationships" name="Sales Plan" sheetId="14" state="visible" r:id="rId14"/>
    <sheet xmlns:r="http://schemas.openxmlformats.org/officeDocument/2006/relationships" name="Планування" sheetId="15" state="visible" r:id="rId15"/>
    <sheet xmlns:r="http://schemas.openxmlformats.org/officeDocument/2006/relationships" name="Production Plan" sheetId="16" state="visible" r:id="rId16"/>
    <sheet xmlns:r="http://schemas.openxmlformats.org/officeDocument/2006/relationships" name="План пошиття" sheetId="17" state="visible" r:id="rId17"/>
    <sheet xmlns:r="http://schemas.openxmlformats.org/officeDocument/2006/relationships" name="Окупність" sheetId="18" state="visible" r:id="rId18"/>
    <sheet xmlns:r="http://schemas.openxmlformats.org/officeDocument/2006/relationships" name="Позиціонування" sheetId="19" state="visible" r:id="rId19"/>
    <sheet xmlns:r="http://schemas.openxmlformats.org/officeDocument/2006/relationships" name="Літня колекція" sheetId="20" state="visible" r:id="rId20"/>
    <sheet xmlns:r="http://schemas.openxmlformats.org/officeDocument/2006/relationships" name="Параметри" sheetId="21" state="visible" r:id="rId21"/>
    <sheet xmlns:r="http://schemas.openxmlformats.org/officeDocument/2006/relationships" name="Джерела і формули" sheetId="22" state="visible" r:id="rId22"/>
  </sheets>
  <definedNames/>
  <calcPr calcId="124519" calcMode="auto" fullCalcOnLoad="1"/>
</workbook>
</file>

<file path=xl/styles.xml><?xml version="1.0" encoding="utf-8"?>
<styleSheet xmlns="http://schemas.openxmlformats.org/spreadsheetml/2006/main">
  <numFmts count="7">
    <numFmt numFmtId="164" formatCode="0.0%"/>
    <numFmt numFmtId="165" formatCode="# ##0"/>
    <numFmt numFmtId="166" formatCode="0.00&quot;×&quot;"/>
    <numFmt numFmtId="167" formatCode="# ##0.00"/>
    <numFmt numFmtId="168" formatCode="0.0"/>
    <numFmt numFmtId="169" formatCode="0.000"/>
    <numFmt numFmtId="170" formatCode="# ##0.0"/>
  </numFmts>
  <fonts count="11">
    <font>
      <name val="Calibri"/>
      <family val="2"/>
      <color theme="1"/>
      <sz val="11"/>
      <scheme val="minor"/>
    </font>
    <font>
      <name val="Calibri"/>
      <b val="1"/>
      <color rgb="001F2937"/>
      <sz val="16"/>
    </font>
    <font>
      <name val="Calibri"/>
      <color rgb="006B7280"/>
      <sz val="10"/>
    </font>
    <font>
      <name val="Calibri"/>
      <b val="1"/>
      <color rgb="001F2937"/>
      <sz val="12"/>
    </font>
    <font>
      <name val="Calibri"/>
      <b val="1"/>
      <color rgb="00FFFFFF"/>
      <sz val="10"/>
    </font>
    <font>
      <name val="Calibri"/>
      <color rgb="001F2937"/>
      <sz val="11"/>
    </font>
    <font>
      <name val="Calibri"/>
      <b val="1"/>
      <color rgb="001F2937"/>
      <sz val="11"/>
    </font>
    <font>
      <name val="Calibri"/>
      <color rgb="001F2937"/>
      <sz val="10"/>
    </font>
    <font>
      <name val="Calibri"/>
      <b val="1"/>
      <color rgb="00B91C1C"/>
      <sz val="11"/>
    </font>
    <font>
      <name val="Calibri"/>
      <color rgb="00B91C1C"/>
      <sz val="10"/>
    </font>
    <font>
      <name val="Calibri"/>
      <b val="1"/>
      <color rgb="0015803D"/>
      <sz val="11"/>
    </font>
  </fonts>
  <fills count="8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FF3C4"/>
      </patternFill>
    </fill>
    <fill>
      <patternFill patternType="solid">
        <fgColor rgb="00E5EAF2"/>
      </patternFill>
    </fill>
    <fill>
      <patternFill patternType="solid">
        <fgColor rgb="00EAF2FE"/>
      </patternFill>
    </fill>
    <fill>
      <patternFill patternType="solid">
        <fgColor rgb="00EAF6EC"/>
      </patternFill>
    </fill>
    <fill>
      <patternFill patternType="solid">
        <fgColor rgb="00FDECEC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9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6" fillId="0" borderId="1" pivotButton="0" quotePrefix="0" xfId="0"/>
    <xf numFmtId="165" fontId="6" fillId="5" borderId="1" pivotButton="0" quotePrefix="0" xfId="0"/>
    <xf numFmtId="0" fontId="2" fillId="0" borderId="1" applyAlignment="1" pivotButton="0" quotePrefix="0" xfId="0">
      <alignment vertical="top" wrapText="1"/>
    </xf>
    <xf numFmtId="164" fontId="6" fillId="5" borderId="1" pivotButton="0" quotePrefix="0" xfId="0"/>
    <xf numFmtId="168" fontId="6" fillId="5" borderId="1" pivotButton="0" quotePrefix="0" xfId="0"/>
    <xf numFmtId="165" fontId="6" fillId="0" borderId="1" applyAlignment="1" pivotButton="0" quotePrefix="0" xfId="0">
      <alignment horizontal="center"/>
    </xf>
    <xf numFmtId="1" fontId="6" fillId="0" borderId="1" applyAlignment="1" pivotButton="0" quotePrefix="0" xfId="0">
      <alignment horizontal="center"/>
    </xf>
    <xf numFmtId="165" fontId="6" fillId="4" borderId="1" applyAlignment="1" pivotButton="0" quotePrefix="0" xfId="0">
      <alignment horizontal="center"/>
    </xf>
    <xf numFmtId="0" fontId="2" fillId="0" borderId="1" pivotButton="0" quotePrefix="0" xfId="0"/>
    <xf numFmtId="0" fontId="5" fillId="0" borderId="1" pivotButton="0" quotePrefix="0" xfId="0"/>
    <xf numFmtId="0" fontId="10" fillId="6" borderId="1" applyAlignment="1" pivotButton="0" quotePrefix="0" xfId="0">
      <alignment horizontal="center"/>
    </xf>
    <xf numFmtId="0" fontId="8" fillId="3" borderId="1" applyAlignment="1" pivotButton="0" quotePrefix="0" xfId="0">
      <alignment horizontal="center"/>
    </xf>
    <xf numFmtId="0" fontId="8" fillId="7" borderId="1" applyAlignment="1" pivotButton="0" quotePrefix="0" xfId="0">
      <alignment horizontal="center"/>
    </xf>
    <xf numFmtId="0" fontId="7" fillId="7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165" fontId="5" fillId="0" borderId="1" pivotButton="0" quotePrefix="0" xfId="0"/>
    <xf numFmtId="164" fontId="5" fillId="0" borderId="1" pivotButton="0" quotePrefix="0" xfId="0"/>
    <xf numFmtId="0" fontId="6" fillId="4" borderId="1" pivotButton="0" quotePrefix="0" xfId="0"/>
    <xf numFmtId="165" fontId="6" fillId="4" borderId="1" pivotButton="0" quotePrefix="0" xfId="0"/>
    <xf numFmtId="164" fontId="6" fillId="4" borderId="1" pivotButton="0" quotePrefix="0" xfId="0"/>
    <xf numFmtId="0" fontId="7" fillId="6" borderId="1" applyAlignment="1" pivotButton="0" quotePrefix="0" xfId="0">
      <alignment vertical="top" wrapText="1"/>
    </xf>
    <xf numFmtId="165" fontId="6" fillId="0" borderId="1" pivotButton="0" quotePrefix="0" xfId="0"/>
    <xf numFmtId="0" fontId="7" fillId="3" borderId="1" applyAlignment="1" pivotButton="0" quotePrefix="0" xfId="0">
      <alignment vertical="top" wrapText="1"/>
    </xf>
    <xf numFmtId="165" fontId="5" fillId="0" borderId="1" applyAlignment="1" pivotButton="0" quotePrefix="0" xfId="0">
      <alignment horizontal="center"/>
    </xf>
    <xf numFmtId="165" fontId="2" fillId="0" borderId="1" pivotButton="0" quotePrefix="0" xfId="0"/>
    <xf numFmtId="0" fontId="2" fillId="6" borderId="1" pivotButton="0" quotePrefix="0" xfId="0"/>
    <xf numFmtId="0" fontId="5" fillId="4" borderId="1" pivotButton="0" quotePrefix="0" xfId="0"/>
    <xf numFmtId="0" fontId="7" fillId="5" borderId="1" applyAlignment="1" pivotButton="0" quotePrefix="0" xfId="0">
      <alignment vertical="top" wrapText="1"/>
    </xf>
    <xf numFmtId="0" fontId="6" fillId="6" borderId="1" pivotButton="0" quotePrefix="0" xfId="0"/>
    <xf numFmtId="164" fontId="6" fillId="0" borderId="1" pivotButton="0" quotePrefix="0" xfId="0"/>
    <xf numFmtId="165" fontId="8" fillId="0" borderId="1" pivotButton="0" quotePrefix="0" xfId="0"/>
    <xf numFmtId="164" fontId="8" fillId="0" borderId="1" pivotButton="0" quotePrefix="0" xfId="0"/>
    <xf numFmtId="0" fontId="5" fillId="6" borderId="1" pivotButton="0" quotePrefix="0" xfId="0"/>
    <xf numFmtId="0" fontId="5" fillId="3" borderId="1" pivotButton="0" quotePrefix="0" xfId="0"/>
    <xf numFmtId="165" fontId="6" fillId="6" borderId="1" applyAlignment="1" pivotButton="0" quotePrefix="0" xfId="0">
      <alignment horizontal="center"/>
    </xf>
    <xf numFmtId="165" fontId="6" fillId="6" borderId="1" pivotButton="0" quotePrefix="0" xfId="0"/>
    <xf numFmtId="0" fontId="6" fillId="3" borderId="1" pivotButton="0" quotePrefix="0" xfId="0"/>
    <xf numFmtId="165" fontId="6" fillId="3" borderId="1" applyAlignment="1" pivotButton="0" quotePrefix="0" xfId="0">
      <alignment horizontal="center"/>
    </xf>
    <xf numFmtId="165" fontId="6" fillId="3" borderId="1" pivotButton="0" quotePrefix="0" xfId="0"/>
    <xf numFmtId="164" fontId="6" fillId="3" borderId="1" pivotButton="0" quotePrefix="0" xfId="0"/>
    <xf numFmtId="166" fontId="6" fillId="4" borderId="1" pivotButton="0" quotePrefix="0" xfId="0"/>
    <xf numFmtId="164" fontId="6" fillId="7" borderId="1" applyAlignment="1" pivotButton="0" quotePrefix="0" xfId="0">
      <alignment horizontal="center"/>
    </xf>
    <xf numFmtId="164" fontId="6" fillId="0" borderId="1" applyAlignment="1" pivotButton="0" quotePrefix="0" xfId="0">
      <alignment horizontal="center"/>
    </xf>
    <xf numFmtId="164" fontId="6" fillId="4" borderId="1" applyAlignment="1" pivotButton="0" quotePrefix="0" xfId="0">
      <alignment horizontal="center"/>
    </xf>
    <xf numFmtId="167" fontId="5" fillId="0" borderId="1" pivotButton="0" quotePrefix="0" xfId="0"/>
    <xf numFmtId="167" fontId="2" fillId="0" borderId="1" pivotButton="0" quotePrefix="0" xfId="0"/>
    <xf numFmtId="167" fontId="6" fillId="3" borderId="1" pivotButton="0" quotePrefix="0" xfId="0"/>
    <xf numFmtId="0" fontId="8" fillId="0" borderId="1" pivotButton="0" quotePrefix="0" xfId="0"/>
    <xf numFmtId="167" fontId="5" fillId="3" borderId="1" pivotButton="0" quotePrefix="0" xfId="0"/>
    <xf numFmtId="0" fontId="9" fillId="0" borderId="1" pivotButton="0" quotePrefix="0" xfId="0"/>
    <xf numFmtId="1" fontId="6" fillId="5" borderId="1" pivotButton="0" quotePrefix="0" xfId="0"/>
    <xf numFmtId="164" fontId="2" fillId="0" borderId="1" pivotButton="0" quotePrefix="0" xfId="0"/>
    <xf numFmtId="0" fontId="6" fillId="5" borderId="1" pivotButton="0" quotePrefix="0" xfId="0"/>
    <xf numFmtId="165" fontId="8" fillId="4" borderId="1" pivotButton="0" quotePrefix="0" xfId="0"/>
    <xf numFmtId="164" fontId="5" fillId="0" borderId="1" applyAlignment="1" pivotButton="0" quotePrefix="0" xfId="0">
      <alignment horizontal="center"/>
    </xf>
    <xf numFmtId="168" fontId="5" fillId="0" borderId="1" pivotButton="0" quotePrefix="0" xfId="0"/>
    <xf numFmtId="0" fontId="6" fillId="7" borderId="1" pivotButton="0" quotePrefix="0" xfId="0"/>
    <xf numFmtId="1" fontId="6" fillId="7" borderId="1" pivotButton="0" quotePrefix="0" xfId="0"/>
    <xf numFmtId="1" fontId="5" fillId="0" borderId="1" pivotButton="0" quotePrefix="0" xfId="0"/>
    <xf numFmtId="1" fontId="6" fillId="4" borderId="1" pivotButton="0" quotePrefix="0" xfId="0"/>
    <xf numFmtId="1" fontId="6" fillId="4" borderId="1" applyAlignment="1" pivotButton="0" quotePrefix="0" xfId="0">
      <alignment horizontal="center"/>
    </xf>
    <xf numFmtId="1" fontId="6" fillId="3" borderId="1" applyAlignment="1" pivotButton="0" quotePrefix="0" xfId="0">
      <alignment horizontal="center"/>
    </xf>
    <xf numFmtId="1" fontId="5" fillId="0" borderId="1" applyAlignment="1" pivotButton="0" quotePrefix="0" xfId="0">
      <alignment horizontal="center"/>
    </xf>
    <xf numFmtId="1" fontId="6" fillId="7" borderId="1" applyAlignment="1" pivotButton="0" quotePrefix="0" xfId="0">
      <alignment horizontal="center"/>
    </xf>
    <xf numFmtId="1" fontId="6" fillId="0" borderId="1" pivotButton="0" quotePrefix="0" xfId="0"/>
    <xf numFmtId="9" fontId="6" fillId="3" borderId="1" applyAlignment="1" pivotButton="0" quotePrefix="0" xfId="0">
      <alignment horizontal="center"/>
    </xf>
    <xf numFmtId="169" fontId="6" fillId="3" borderId="1" applyAlignment="1" pivotButton="0" quotePrefix="0" xfId="0">
      <alignment horizontal="center"/>
    </xf>
    <xf numFmtId="9" fontId="6" fillId="0" borderId="1" applyAlignment="1" pivotButton="0" quotePrefix="0" xfId="0">
      <alignment horizontal="center"/>
    </xf>
    <xf numFmtId="170" fontId="6" fillId="4" borderId="1" applyAlignment="1" pivotButton="0" quotePrefix="0" xfId="0">
      <alignment horizontal="center"/>
    </xf>
    <xf numFmtId="170" fontId="6" fillId="0" borderId="1" applyAlignment="1" pivotButton="0" quotePrefix="0" xfId="0">
      <alignment horizontal="center"/>
    </xf>
    <xf numFmtId="0" fontId="6" fillId="0" borderId="1" applyAlignment="1" pivotButton="0" quotePrefix="0" xfId="0">
      <alignment horizontal="center"/>
    </xf>
    <xf numFmtId="165" fontId="5" fillId="6" borderId="1" applyAlignment="1" pivotButton="0" quotePrefix="0" xfId="0">
      <alignment horizontal="center"/>
    </xf>
    <xf numFmtId="0" fontId="6" fillId="5" borderId="1" applyAlignment="1" pivotButton="0" quotePrefix="0" xfId="0">
      <alignment horizontal="center"/>
    </xf>
    <xf numFmtId="165" fontId="5" fillId="3" borderId="1" pivotButton="0" quotePrefix="0" xfId="0"/>
    <xf numFmtId="165" fontId="10" fillId="0" borderId="1" pivotButton="0" quotePrefix="0" xfId="0"/>
    <xf numFmtId="165" fontId="6" fillId="7" borderId="1" pivotButton="0" quotePrefix="0" xfId="0"/>
    <xf numFmtId="168" fontId="6" fillId="4" borderId="1" applyAlignment="1" pivotButton="0" quotePrefix="0" xfId="0">
      <alignment horizontal="center"/>
    </xf>
    <xf numFmtId="166" fontId="6" fillId="5" borderId="1" pivotButton="0" quotePrefix="0" xfId="0"/>
    <xf numFmtId="1" fontId="6" fillId="3" borderId="1" pivotButton="0" quotePrefix="0" xfId="0"/>
    <xf numFmtId="166" fontId="6" fillId="3" borderId="1" pivotButton="0" quotePrefix="0" xfId="0"/>
    <xf numFmtId="2" fontId="6" fillId="4" borderId="1" pivotButton="0" quotePrefix="0" xfId="0"/>
    <xf numFmtId="166" fontId="6" fillId="3" borderId="1" applyAlignment="1" pivotButton="0" quotePrefix="0" xfId="0">
      <alignment horizontal="center"/>
    </xf>
    <xf numFmtId="164" fontId="6" fillId="3" borderId="1" applyAlignment="1" pivotButton="0" quotePrefix="0" xfId="0">
      <alignment horizontal="center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styles" Target="styles.xml" Id="rId23"/><Relationship Type="http://schemas.openxmlformats.org/officeDocument/2006/relationships/theme" Target="theme/theme1.xml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18" customWidth="1" min="3" max="3"/>
    <col width="16" customWidth="1" min="4" max="4"/>
    <col width="14" customWidth="1" min="5" max="5"/>
    <col width="46" customWidth="1" min="6" max="6"/>
  </cols>
  <sheetData>
    <row r="1" ht="24" customHeight="1">
      <c r="A1" s="1" t="inlineStr">
        <is>
          <t>MAJEMI — управлінський дашборд</t>
        </is>
      </c>
    </row>
    <row r="2" ht="42" customHeight="1">
      <c r="A2" s="2" t="inlineStr">
        <is>
          <t>CRM OneBox: продажі 23.03–30.07.2026, Cash Flow 05–08.2026. Собівартість — з файлів бренду. Старт продажів за планом — вересень 2026, тому поточний період до-стартовий.</t>
        </is>
      </c>
    </row>
    <row r="4">
      <c r="A4" s="3" t="inlineStr">
        <is>
          <t>Ключові показники</t>
        </is>
      </c>
    </row>
    <row r="5" ht="32" customHeight="1">
      <c r="A5" s="4" t="inlineStr">
        <is>
          <t>Показник</t>
        </is>
      </c>
      <c r="B5" s="4" t="inlineStr">
        <is>
          <t>Значення</t>
        </is>
      </c>
      <c r="C5" s="4" t="inlineStr"/>
      <c r="D5" s="4" t="inlineStr"/>
      <c r="E5" s="4" t="inlineStr"/>
      <c r="F5" s="4" t="inlineStr">
        <is>
          <t>Що це означає</t>
        </is>
      </c>
    </row>
    <row r="6">
      <c r="A6" s="5" t="inlineStr">
        <is>
          <t>Замовлень за період</t>
        </is>
      </c>
      <c r="B6" s="6">
        <f>Sales!$B$11</f>
        <v/>
      </c>
      <c r="F6" s="7" t="inlineStr">
        <is>
          <t>Березень–липень 2026</t>
        </is>
      </c>
    </row>
    <row r="7">
      <c r="A7" s="5" t="inlineStr">
        <is>
          <t>Продано одиниць</t>
        </is>
      </c>
      <c r="B7" s="6">
        <f>Sales!$C$11</f>
        <v/>
      </c>
      <c r="F7" s="7" t="inlineStr"/>
    </row>
    <row r="8">
      <c r="A8" s="5" t="inlineStr">
        <is>
          <t>Сума замовлень, грн</t>
        </is>
      </c>
      <c r="B8" s="6">
        <f>Sales!$D$11</f>
        <v/>
      </c>
      <c r="F8" s="7" t="inlineStr">
        <is>
          <t>Замовлення, не Net Sales — статуси не розшифровані</t>
        </is>
      </c>
    </row>
    <row r="9">
      <c r="A9" s="5" t="inlineStr">
        <is>
          <t>Середній чек, грн</t>
        </is>
      </c>
      <c r="B9" s="6">
        <f>Sales!$E$11</f>
        <v/>
      </c>
      <c r="F9" s="7" t="inlineStr"/>
    </row>
    <row r="10">
      <c r="A10" s="5" t="inlineStr">
        <is>
          <t>Собівартість проданого, грн</t>
        </is>
      </c>
      <c r="B10" s="6">
        <f>Sales!$F$11</f>
        <v/>
      </c>
      <c r="F10" s="7" t="inlineStr">
        <is>
          <t>Звірена з файлами бренду, похибка 2,5%</t>
        </is>
      </c>
    </row>
    <row r="11">
      <c r="A11" s="5" t="inlineStr">
        <is>
          <t>Валова маржа, грн</t>
        </is>
      </c>
      <c r="B11" s="6">
        <f>Sales!$G$11</f>
        <v/>
      </c>
      <c r="F11" s="7" t="inlineStr"/>
    </row>
    <row r="12">
      <c r="A12" s="5" t="inlineStr">
        <is>
          <t>Gross margin % — фактична</t>
        </is>
      </c>
      <c r="B12" s="8">
        <f>Sales!$H$11</f>
        <v/>
      </c>
      <c r="F12" s="7" t="inlineStr">
        <is>
          <t>Як шили насправді: у CRM зустрічаються і дорожчі підрядники</t>
        </is>
      </c>
    </row>
    <row r="13">
      <c r="A13" s="5" t="inlineStr">
        <is>
          <t>Gross margin % — при обраному підряднику</t>
        </is>
      </c>
      <c r="B13" s="8">
        <f>'SKU Economics'!$E$15</f>
        <v/>
      </c>
      <c r="F13" s="7" t="inlineStr">
        <is>
          <t>Якби весь обсяг шили в того підрядника, що обраний на аркуші «Собівартість»</t>
        </is>
      </c>
    </row>
    <row r="14">
      <c r="A14" s="5" t="inlineStr">
        <is>
          <t>Різниця між ними, пунктів</t>
        </is>
      </c>
      <c r="B14" s="8">
        <f>'SKU Economics'!$E$15-Sales!$H$11</f>
        <v/>
      </c>
      <c r="F14" s="7" t="inlineStr">
        <is>
          <t>Це і є ціна вибору підрядника — у пунктах маржі</t>
        </is>
      </c>
    </row>
    <row r="15">
      <c r="A15" s="5" t="inlineStr">
        <is>
          <t>Надійшло грошима, грн</t>
        </is>
      </c>
      <c r="B15" s="6">
        <f>Sales!$I$11</f>
        <v/>
      </c>
      <c r="F15" s="7" t="inlineStr">
        <is>
          <t>Друга грошова колонка CRM</t>
        </is>
      </c>
    </row>
    <row r="16">
      <c r="A16" s="5" t="inlineStr">
        <is>
          <t>Не зібрано, грн</t>
        </is>
      </c>
      <c r="B16" s="6">
        <f>Sales!$D$11-Sales!$I$11</f>
        <v/>
      </c>
      <c r="F16" s="7" t="inlineStr">
        <is>
          <t>Розрив між сумою замовлень і грошима. Причина невідома без статусів</t>
        </is>
      </c>
    </row>
    <row r="17">
      <c r="A17" s="5" t="inlineStr">
        <is>
          <t>Переплата через вибір підрядника, грн</t>
        </is>
      </c>
      <c r="B17" s="6">
        <f>'Собівартість'!$H$15</f>
        <v/>
      </c>
      <c r="F17" s="7" t="inlineStr">
        <is>
          <t>Скільки коштувало шити не в найдешевшого — на фактичному обсязі</t>
        </is>
      </c>
    </row>
    <row r="18">
      <c r="A18" s="5" t="inlineStr">
        <is>
          <t>Fixed OPEX, грн/міс</t>
        </is>
      </c>
      <c r="B18" s="6">
        <f>Параметри!$B$27</f>
        <v/>
      </c>
      <c r="F18" s="7" t="inlineStr">
        <is>
          <t>З урахуванням рішення по «Розробці продукту»</t>
        </is>
      </c>
    </row>
    <row r="19">
      <c r="A19" s="5" t="inlineStr">
        <is>
          <t>Contribution margin, онлайн</t>
        </is>
      </c>
      <c r="B19" s="8">
        <f>'Break-even'!$B$10</f>
        <v/>
      </c>
      <c r="F19" s="7" t="inlineStr">
        <is>
          <t>Після податку і комісій</t>
        </is>
      </c>
    </row>
    <row r="20">
      <c r="A20" s="5" t="inlineStr">
        <is>
          <t>Беззбиткова виручка, грн/міс</t>
        </is>
      </c>
      <c r="B20" s="6">
        <f>'Break-even'!$C$14</f>
        <v/>
      </c>
      <c r="F20" s="7" t="inlineStr">
        <is>
          <t>Базовий варіант: 100% онлайн</t>
        </is>
      </c>
    </row>
    <row r="21">
      <c r="A21" s="5" t="inlineStr">
        <is>
          <t>Беззбиткових замовлень/міс</t>
        </is>
      </c>
      <c r="B21" s="9">
        <f>'Break-even'!$D$14</f>
        <v/>
      </c>
      <c r="F21" s="7" t="inlineStr"/>
    </row>
    <row r="22">
      <c r="A22" s="5" t="inlineStr">
        <is>
          <t>Середня оптова ціна (виведена), грн</t>
        </is>
      </c>
      <c r="B22" s="6">
        <f>'B2B ціни'!$H$15</f>
        <v/>
      </c>
      <c r="F22" s="7" t="inlineStr">
        <is>
          <t>Не множник від роздрібу — розрахунок від собівартості й потреби</t>
        </is>
      </c>
    </row>
    <row r="23">
      <c r="A23" s="5" t="inlineStr">
        <is>
          <t>Унікальних клієнтів</t>
        </is>
      </c>
      <c r="B23" s="6" t="n">
        <v>39</v>
      </c>
      <c r="F23" s="7" t="inlineStr">
        <is>
          <t>За іменем — ID клієнта у вигрузці немає</t>
        </is>
      </c>
    </row>
    <row r="25">
      <c r="A25" s="3" t="inlineStr">
        <is>
          <t>План продажів — три сценарії</t>
        </is>
      </c>
    </row>
    <row r="26" ht="32" customHeight="1">
      <c r="A26" s="4" t="inlineStr">
        <is>
          <t>Показник</t>
        </is>
      </c>
      <c r="B26" s="4" t="inlineStr">
        <is>
          <t>Minimum / break-even</t>
        </is>
      </c>
      <c r="C26" s="4" t="inlineStr">
        <is>
          <t>Base plan</t>
        </is>
      </c>
      <c r="D26" s="4" t="inlineStr">
        <is>
          <t>Stretch plan</t>
        </is>
      </c>
      <c r="E26" s="4" t="inlineStr"/>
      <c r="F26" s="4" t="inlineStr">
        <is>
          <t>Коментар</t>
        </is>
      </c>
    </row>
    <row r="27">
      <c r="A27" s="5" t="inlineStr">
        <is>
          <t>Виручка / місяць, грн</t>
        </is>
      </c>
      <c r="B27" s="10">
        <f>IFERROR('Sales Plan'!B8,"—")</f>
        <v/>
      </c>
      <c r="C27" s="10">
        <f>IFERROR('Sales Plan'!C8,"—")</f>
        <v/>
      </c>
      <c r="D27" s="10">
        <f>IFERROR('Sales Plan'!D8,"—")</f>
        <v/>
      </c>
    </row>
    <row r="28">
      <c r="A28" s="5" t="inlineStr">
        <is>
          <t>Замовлень / місяць</t>
        </is>
      </c>
      <c r="B28" s="11">
        <f>IFERROR('Sales Plan'!B6,"—")</f>
        <v/>
      </c>
      <c r="C28" s="11">
        <f>IFERROR('Sales Plan'!C6,"—")</f>
        <v/>
      </c>
      <c r="D28" s="11">
        <f>IFERROR('Sales Plan'!D6,"—")</f>
        <v/>
      </c>
    </row>
    <row r="29">
      <c r="A29" s="5" t="inlineStr">
        <is>
          <t>Одиниць / місяць</t>
        </is>
      </c>
      <c r="B29" s="11">
        <f>IFERROR('Sales Plan'!B7,"—")</f>
        <v/>
      </c>
      <c r="C29" s="11">
        <f>IFERROR('Sales Plan'!C7,"—")</f>
        <v/>
      </c>
      <c r="D29" s="11">
        <f>IFERROR('Sales Plan'!D7,"—")</f>
        <v/>
      </c>
    </row>
    <row r="30">
      <c r="A30" s="5" t="inlineStr">
        <is>
          <t>Результат після постійних витрат</t>
        </is>
      </c>
      <c r="B30" s="12">
        <f>IFERROR('Sales Plan'!B23,"—")</f>
        <v/>
      </c>
      <c r="C30" s="12">
        <f>IFERROR('Sales Plan'!C23,"—")</f>
        <v/>
      </c>
      <c r="D30" s="12">
        <f>IFERROR('Sales Plan'!D23,"—")</f>
        <v/>
      </c>
    </row>
    <row r="31">
      <c r="F31" s="13" t="inlineStr">
        <is>
          <t>Деталі і розподіл по каналах — аркуш Sales Plan</t>
        </is>
      </c>
    </row>
    <row r="33">
      <c r="A33" s="3" t="inlineStr">
        <is>
          <t>Стан даних</t>
        </is>
      </c>
    </row>
    <row r="34" ht="32" customHeight="1">
      <c r="A34" s="4" t="inlineStr">
        <is>
          <t>Блок</t>
        </is>
      </c>
      <c r="B34" s="4" t="inlineStr">
        <is>
          <t>Стан</t>
        </is>
      </c>
      <c r="C34" s="4" t="inlineStr"/>
      <c r="D34" s="4" t="inlineStr"/>
      <c r="E34" s="4" t="inlineStr"/>
      <c r="F34" s="4" t="inlineStr">
        <is>
          <t>Що потрібно</t>
        </is>
      </c>
    </row>
    <row r="35">
      <c r="A35" s="14" t="inlineStr">
        <is>
          <t>Продажі: місяці, чек, SKU, розміри</t>
        </is>
      </c>
      <c r="B35" s="15" t="inlineStr">
        <is>
          <t>готово</t>
        </is>
      </c>
      <c r="F35" s="13" t="inlineStr"/>
    </row>
    <row r="36">
      <c r="A36" s="14" t="inlineStr">
        <is>
          <t>Собівартість по підрядниках</t>
        </is>
      </c>
      <c r="B36" s="15" t="inlineStr">
        <is>
          <t>готово</t>
        </is>
      </c>
      <c r="F36" s="13" t="inlineStr">
        <is>
          <t>З файлів бренду, звірена з CRM</t>
        </is>
      </c>
    </row>
    <row r="37">
      <c r="A37" s="14" t="inlineStr">
        <is>
          <t>Retail-ціни</t>
        </is>
      </c>
      <c r="B37" s="15" t="inlineStr">
        <is>
          <t>готово</t>
        </is>
      </c>
      <c r="F37" s="13" t="inlineStr">
        <is>
          <t>З файлу «Розрахунок націнки»</t>
        </is>
      </c>
    </row>
    <row r="38">
      <c r="A38" s="14" t="inlineStr">
        <is>
          <t>Маржа showroom</t>
        </is>
      </c>
      <c r="B38" s="15" t="inlineStr">
        <is>
          <t>готово</t>
        </is>
      </c>
      <c r="F38" s="13" t="inlineStr">
        <is>
          <t>Комісія 40% з фінмоделі</t>
        </is>
      </c>
    </row>
    <row r="39">
      <c r="A39" s="14" t="inlineStr">
        <is>
          <t>B2B ціни</t>
        </is>
      </c>
      <c r="B39" s="15" t="inlineStr">
        <is>
          <t>готово</t>
        </is>
      </c>
      <c r="F39" s="13" t="inlineStr">
        <is>
          <t>Виведені розрахунком. Підтвердити націнку партнера</t>
        </is>
      </c>
    </row>
    <row r="40">
      <c r="A40" s="14" t="inlineStr">
        <is>
          <t>Структура витрат, Fixed OPEX</t>
        </is>
      </c>
      <c r="B40" s="15" t="inlineStr">
        <is>
          <t>готово</t>
        </is>
      </c>
      <c r="F40" s="13" t="inlineStr"/>
    </row>
    <row r="41">
      <c r="A41" s="14" t="inlineStr">
        <is>
          <t>Contribution margin і беззбитковість</t>
        </is>
      </c>
      <c r="B41" s="15" t="inlineStr">
        <is>
          <t>готово</t>
        </is>
      </c>
      <c r="F41" s="13" t="inlineStr">
        <is>
          <t>Уточнити податок, комісії, повернення</t>
        </is>
      </c>
    </row>
    <row r="42">
      <c r="A42" s="14" t="inlineStr">
        <is>
          <t>План продажів, 3 сценарії</t>
        </is>
      </c>
      <c r="B42" s="15" t="inlineStr">
        <is>
          <t>готово</t>
        </is>
      </c>
      <c r="F42" s="13" t="inlineStr">
        <is>
          <t>Підтвердити множники Base і Stretch та мікс каналів</t>
        </is>
      </c>
    </row>
    <row r="43">
      <c r="A43" s="14" t="inlineStr">
        <is>
          <t>Залишки і sell-through</t>
        </is>
      </c>
      <c r="B43" s="16" t="inlineStr">
        <is>
          <t>підтвердити</t>
        </is>
      </c>
      <c r="F43" s="13" t="inlineStr">
        <is>
          <t>Список з Аркуша7 без заголовка — це залишки чи план пошиву?</t>
        </is>
      </c>
    </row>
    <row r="44">
      <c r="A44" s="14" t="inlineStr">
        <is>
          <t>Собівартість 2 SKU</t>
        </is>
      </c>
      <c r="B44" s="16" t="inlineStr">
        <is>
          <t>підтвердити</t>
        </is>
      </c>
      <c r="F44" s="13" t="inlineStr">
        <is>
          <t>Блуза шовкова холтер чорна, Блузон молочний — немає у файлах</t>
        </is>
      </c>
    </row>
    <row r="45">
      <c r="A45" s="14" t="inlineStr">
        <is>
          <t>Net Sales, повернення, відмови</t>
        </is>
      </c>
      <c r="B45" s="17" t="inlineStr">
        <is>
          <t>немає даних</t>
        </is>
      </c>
      <c r="F45" s="13" t="inlineStr">
        <is>
          <t>Статуси замовлень з OneBox</t>
        </is>
      </c>
    </row>
    <row r="46">
      <c r="A46" s="14" t="inlineStr">
        <is>
          <t>Канали продажу по факту</t>
        </is>
      </c>
      <c r="B46" s="17" t="inlineStr">
        <is>
          <t>немає даних</t>
        </is>
      </c>
      <c r="F46" s="13" t="inlineStr">
        <is>
          <t>Полів каналу у вигрузці немає</t>
        </is>
      </c>
    </row>
    <row r="47">
      <c r="A47" s="14" t="inlineStr">
        <is>
          <t>CAC, ROAS, ефект інфлюенсерів</t>
        </is>
      </c>
      <c r="B47" s="17" t="inlineStr">
        <is>
          <t>немає даних</t>
        </is>
      </c>
      <c r="F47" s="13" t="inlineStr">
        <is>
          <t>GA4, Meta / Google Ads, промокоди, UTM</t>
        </is>
      </c>
    </row>
    <row r="48">
      <c r="A48" s="14" t="inlineStr">
        <is>
          <t>Прогноз надходжень грошей</t>
        </is>
      </c>
      <c r="B48" s="17" t="inlineStr">
        <is>
          <t>немає даних</t>
        </is>
      </c>
      <c r="F48" s="13" t="inlineStr">
        <is>
          <t>Цикл оплати і причина розриву сума ↔ гроші</t>
        </is>
      </c>
    </row>
    <row r="50" ht="65" customHeight="1">
      <c r="A50" s="18" t="inlineStr">
        <is>
          <t>Три речі, які дадуть найбільше: 1) підтвердити список наявності — без нього sell-through і план виробництва не рахуються; 2) перевигрузити замовлення з OneBox із заголовками колонок — це дасть статуси, повернення й канали одним файлом; 3) вирішити щодо підрядників — різниця між ними на фактичному обсязі становить близько чверті всієї собівартості.</t>
        </is>
      </c>
      <c r="B50" s="19" t="n"/>
      <c r="C50" s="19" t="n"/>
      <c r="D50" s="19" t="n"/>
      <c r="E50" s="19" t="n"/>
      <c r="F50" s="20" t="n"/>
    </row>
  </sheetData>
  <mergeCells count="6">
    <mergeCell ref="A2:F2"/>
    <mergeCell ref="A33:F33"/>
    <mergeCell ref="A1:F1"/>
    <mergeCell ref="A50:F50"/>
    <mergeCell ref="A4:F4"/>
    <mergeCell ref="A25:F2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13" customWidth="1" min="3" max="3"/>
    <col width="15" customWidth="1" min="4" max="4"/>
    <col width="15" customWidth="1" min="5" max="5"/>
    <col width="15" customWidth="1" min="6" max="6"/>
    <col width="16" customWidth="1" min="7" max="7"/>
    <col width="12" customWidth="1" min="8" max="8"/>
    <col width="16" customWidth="1" min="9" max="9"/>
  </cols>
  <sheetData>
    <row r="1" ht="24" customHeight="1">
      <c r="A1" s="1" t="inlineStr">
        <is>
          <t>Sales — продажі</t>
        </is>
      </c>
    </row>
    <row r="2" ht="42" customHeight="1">
      <c r="A2" s="2" t="inlineStr">
        <is>
          <t>CRM OneBox, 23.03.2026 – 30.07.2026. 41 замовлень, 54 одиниць. Це замовлення, а не Net Sales: статуси в CRM не розшифровані, тому відмови й повернення сюди ще включені.</t>
        </is>
      </c>
    </row>
    <row r="4">
      <c r="A4" s="3" t="inlineStr">
        <is>
          <t>Продажі по місяцях</t>
        </is>
      </c>
    </row>
    <row r="5" ht="32" customHeight="1">
      <c r="A5" s="4" t="inlineStr">
        <is>
          <t>Місяць</t>
        </is>
      </c>
      <c r="B5" s="4" t="inlineStr">
        <is>
          <t>Замовлень</t>
        </is>
      </c>
      <c r="C5" s="4" t="inlineStr">
        <is>
          <t>Одиниць</t>
        </is>
      </c>
      <c r="D5" s="4" t="inlineStr">
        <is>
          <t>Сума замовлень, грн</t>
        </is>
      </c>
      <c r="E5" s="4" t="inlineStr">
        <is>
          <t>Середній чек, грн</t>
        </is>
      </c>
      <c r="F5" s="4" t="inlineStr">
        <is>
          <t>Собівартість, грн</t>
        </is>
      </c>
      <c r="G5" s="4" t="inlineStr">
        <is>
          <t>Валова маржа, грн</t>
        </is>
      </c>
      <c r="H5" s="4" t="inlineStr">
        <is>
          <t>Маржа %</t>
        </is>
      </c>
      <c r="I5" s="4" t="inlineStr">
        <is>
          <t>Надійшло грошима, грн</t>
        </is>
      </c>
    </row>
    <row r="6">
      <c r="A6" s="14" t="inlineStr">
        <is>
          <t>Березень</t>
        </is>
      </c>
      <c r="B6" s="21" t="n">
        <v>1</v>
      </c>
      <c r="C6" s="21" t="n">
        <v>2</v>
      </c>
      <c r="D6" s="21" t="n">
        <v>18000</v>
      </c>
      <c r="E6" s="21">
        <f>IF(B6=0,0,D6/B6)</f>
        <v/>
      </c>
      <c r="F6" s="21" t="n">
        <v>4758.96</v>
      </c>
      <c r="G6" s="21">
        <f>D6-F6</f>
        <v/>
      </c>
      <c r="H6" s="22">
        <f>IF(D6=0,0,G6/D6)</f>
        <v/>
      </c>
      <c r="I6" s="21" t="n">
        <v>18000</v>
      </c>
    </row>
    <row r="7">
      <c r="A7" s="14" t="inlineStr">
        <is>
          <t>Квітень</t>
        </is>
      </c>
      <c r="B7" s="21" t="n">
        <v>6</v>
      </c>
      <c r="C7" s="21" t="n">
        <v>7</v>
      </c>
      <c r="D7" s="21" t="n">
        <v>105050</v>
      </c>
      <c r="E7" s="21">
        <f>IF(B7=0,0,D7/B7)</f>
        <v/>
      </c>
      <c r="F7" s="21" t="n">
        <v>33049.32</v>
      </c>
      <c r="G7" s="21">
        <f>D7-F7</f>
        <v/>
      </c>
      <c r="H7" s="22">
        <f>IF(D7=0,0,G7/D7)</f>
        <v/>
      </c>
      <c r="I7" s="21" t="n">
        <v>75650</v>
      </c>
    </row>
    <row r="8">
      <c r="A8" s="14" t="inlineStr">
        <is>
          <t>Травень</t>
        </is>
      </c>
      <c r="B8" s="21" t="n">
        <v>10</v>
      </c>
      <c r="C8" s="21" t="n">
        <v>11</v>
      </c>
      <c r="D8" s="21" t="n">
        <v>142525</v>
      </c>
      <c r="E8" s="21">
        <f>IF(B8=0,0,D8/B8)</f>
        <v/>
      </c>
      <c r="F8" s="21" t="n">
        <v>42849.57</v>
      </c>
      <c r="G8" s="21">
        <f>D8-F8</f>
        <v/>
      </c>
      <c r="H8" s="22">
        <f>IF(D8=0,0,G8/D8)</f>
        <v/>
      </c>
      <c r="I8" s="21" t="n">
        <v>105552.12</v>
      </c>
    </row>
    <row r="9">
      <c r="A9" s="14" t="inlineStr">
        <is>
          <t>Червень</t>
        </is>
      </c>
      <c r="B9" s="21" t="n">
        <v>11</v>
      </c>
      <c r="C9" s="21" t="n">
        <v>18</v>
      </c>
      <c r="D9" s="21" t="n">
        <v>272825</v>
      </c>
      <c r="E9" s="21">
        <f>IF(B9=0,0,D9/B9)</f>
        <v/>
      </c>
      <c r="F9" s="21" t="n">
        <v>92974.23</v>
      </c>
      <c r="G9" s="21">
        <f>D9-F9</f>
        <v/>
      </c>
      <c r="H9" s="22">
        <f>IF(D9=0,0,G9/D9)</f>
        <v/>
      </c>
      <c r="I9" s="21" t="n">
        <v>202369.57</v>
      </c>
    </row>
    <row r="10">
      <c r="A10" s="14" t="inlineStr">
        <is>
          <t>Липень</t>
        </is>
      </c>
      <c r="B10" s="21" t="n">
        <v>13</v>
      </c>
      <c r="C10" s="21" t="n">
        <v>16</v>
      </c>
      <c r="D10" s="21" t="n">
        <v>334010</v>
      </c>
      <c r="E10" s="21">
        <f>IF(B10=0,0,D10/B10)</f>
        <v/>
      </c>
      <c r="F10" s="21" t="n">
        <v>123650.24</v>
      </c>
      <c r="G10" s="21">
        <f>D10-F10</f>
        <v/>
      </c>
      <c r="H10" s="22">
        <f>IF(D10=0,0,G10/D10)</f>
        <v/>
      </c>
      <c r="I10" s="21" t="n">
        <v>151819.25</v>
      </c>
    </row>
    <row r="11">
      <c r="A11" s="23" t="inlineStr">
        <is>
          <t>РАЗОМ</t>
        </is>
      </c>
      <c r="B11" s="24">
        <f>SUM(B6:B10)</f>
        <v/>
      </c>
      <c r="C11" s="24">
        <f>SUM(C6:C10)</f>
        <v/>
      </c>
      <c r="D11" s="24">
        <f>SUM(D6:D10)</f>
        <v/>
      </c>
      <c r="E11" s="24">
        <f>IF(B11=0,0,D11/B11)</f>
        <v/>
      </c>
      <c r="F11" s="24">
        <f>SUM(F6:F10)</f>
        <v/>
      </c>
      <c r="G11" s="24">
        <f>D11-F11</f>
        <v/>
      </c>
      <c r="H11" s="25">
        <f>IF(D11=0,0,G11/D11)</f>
        <v/>
      </c>
      <c r="I11" s="24">
        <f>SUM(I6:I10)</f>
        <v/>
      </c>
    </row>
    <row r="13">
      <c r="A13" s="3" t="inlineStr">
        <is>
          <t>Продажі по SKU</t>
        </is>
      </c>
    </row>
    <row r="14" ht="32" customHeight="1">
      <c r="A14" s="4" t="inlineStr">
        <is>
          <t>SKU</t>
        </is>
      </c>
      <c r="B14" s="4" t="inlineStr">
        <is>
          <t>Продано, шт</t>
        </is>
      </c>
      <c r="C14" s="4" t="inlineStr">
        <is>
          <t>Частка штук</t>
        </is>
      </c>
      <c r="D14" s="4" t="inlineStr">
        <is>
          <t>Виручка, грн</t>
        </is>
      </c>
      <c r="E14" s="4" t="inlineStr">
        <is>
          <t>Частка виручки</t>
        </is>
      </c>
      <c r="F14" s="4" t="inlineStr">
        <is>
          <t>Собівартість, грн</t>
        </is>
      </c>
      <c r="G14" s="4" t="inlineStr">
        <is>
          <t>Валовий прибуток, грн</t>
        </is>
      </c>
      <c r="H14" s="4" t="inlineStr">
        <is>
          <t>Маржа %</t>
        </is>
      </c>
      <c r="I14" s="4" t="inlineStr">
        <is>
          <t>Ціна за одиницю, грн</t>
        </is>
      </c>
    </row>
    <row r="15">
      <c r="A15" s="14" t="inlineStr">
        <is>
          <t>Кафтан оксамитовий</t>
        </is>
      </c>
      <c r="B15" s="21" t="n">
        <v>18</v>
      </c>
      <c r="C15" s="22">
        <f>IF(Sales!$C$11=0,0,B15/Sales!$C$11)</f>
        <v/>
      </c>
      <c r="D15" s="21" t="n">
        <v>467457.77</v>
      </c>
      <c r="E15" s="22">
        <f>IF(Sales!$D$11=0,0,D15/Sales!$D$11)</f>
        <v/>
      </c>
      <c r="F15" s="21" t="n">
        <v>177091.07</v>
      </c>
      <c r="G15" s="21">
        <f>D15-F15</f>
        <v/>
      </c>
      <c r="H15" s="22">
        <f>IF(D15=0,0,G15/D15)</f>
        <v/>
      </c>
      <c r="I15" s="21">
        <f>IF(B15=0,0,D15/B15)</f>
        <v/>
      </c>
    </row>
    <row r="16">
      <c r="A16" s="14" t="inlineStr">
        <is>
          <t>Штани сатинові</t>
        </is>
      </c>
      <c r="B16" s="21" t="n">
        <v>7</v>
      </c>
      <c r="C16" s="22">
        <f>IF(Sales!$C$11=0,0,B16/Sales!$C$11)</f>
        <v/>
      </c>
      <c r="D16" s="21" t="n">
        <v>77976.64999999999</v>
      </c>
      <c r="E16" s="22">
        <f>IF(Sales!$D$11=0,0,D16/Sales!$D$11)</f>
        <v/>
      </c>
      <c r="F16" s="21" t="n">
        <v>21259.41</v>
      </c>
      <c r="G16" s="21">
        <f>D16-F16</f>
        <v/>
      </c>
      <c r="H16" s="22">
        <f>IF(D16=0,0,G16/D16)</f>
        <v/>
      </c>
      <c r="I16" s="21">
        <f>IF(B16=0,0,D16/B16)</f>
        <v/>
      </c>
    </row>
    <row r="17">
      <c r="A17" s="14" t="inlineStr">
        <is>
          <t>Жакет оксамитовий</t>
        </is>
      </c>
      <c r="B17" s="21" t="n">
        <v>4</v>
      </c>
      <c r="C17" s="22">
        <f>IF(Sales!$C$11=0,0,B17/Sales!$C$11)</f>
        <v/>
      </c>
      <c r="D17" s="21" t="n">
        <v>74100</v>
      </c>
      <c r="E17" s="22">
        <f>IF(Sales!$D$11=0,0,D17/Sales!$D$11)</f>
        <v/>
      </c>
      <c r="F17" s="21" t="n">
        <v>19430.31</v>
      </c>
      <c r="G17" s="21">
        <f>D17-F17</f>
        <v/>
      </c>
      <c r="H17" s="22">
        <f>IF(D17=0,0,G17/D17)</f>
        <v/>
      </c>
      <c r="I17" s="21">
        <f>IF(B17=0,0,D17/B17)</f>
        <v/>
      </c>
    </row>
    <row r="18">
      <c r="A18" s="14" t="inlineStr">
        <is>
          <t>Штани оксамитові</t>
        </is>
      </c>
      <c r="B18" s="21" t="n">
        <v>5</v>
      </c>
      <c r="C18" s="22">
        <f>IF(Sales!$C$11=0,0,B18/Sales!$C$11)</f>
        <v/>
      </c>
      <c r="D18" s="21" t="n">
        <v>69029.25999999999</v>
      </c>
      <c r="E18" s="22">
        <f>IF(Sales!$D$11=0,0,D18/Sales!$D$11)</f>
        <v/>
      </c>
      <c r="F18" s="21" t="n">
        <v>19685.85</v>
      </c>
      <c r="G18" s="21">
        <f>D18-F18</f>
        <v/>
      </c>
      <c r="H18" s="22">
        <f>IF(D18=0,0,G18/D18)</f>
        <v/>
      </c>
      <c r="I18" s="21">
        <f>IF(B18=0,0,D18/B18)</f>
        <v/>
      </c>
    </row>
    <row r="19">
      <c r="A19" s="14" t="inlineStr">
        <is>
          <t>Блуза шовкова холтер</t>
        </is>
      </c>
      <c r="B19" s="21" t="n">
        <v>8</v>
      </c>
      <c r="C19" s="22">
        <f>IF(Sales!$C$11=0,0,B19/Sales!$C$11)</f>
        <v/>
      </c>
      <c r="D19" s="21" t="n">
        <v>61218.82</v>
      </c>
      <c r="E19" s="22">
        <f>IF(Sales!$D$11=0,0,D19/Sales!$D$11)</f>
        <v/>
      </c>
      <c r="F19" s="21" t="n">
        <v>19021.45</v>
      </c>
      <c r="G19" s="21">
        <f>D19-F19</f>
        <v/>
      </c>
      <c r="H19" s="22">
        <f>IF(D19=0,0,G19/D19)</f>
        <v/>
      </c>
      <c r="I19" s="21">
        <f>IF(B19=0,0,D19/B19)</f>
        <v/>
      </c>
    </row>
    <row r="20">
      <c r="A20" s="14" t="inlineStr">
        <is>
          <t>Блуза шовкова лавальєр</t>
        </is>
      </c>
      <c r="B20" s="21" t="n">
        <v>6</v>
      </c>
      <c r="C20" s="22">
        <f>IF(Sales!$C$11=0,0,B20/Sales!$C$11)</f>
        <v/>
      </c>
      <c r="D20" s="21" t="n">
        <v>52295.74</v>
      </c>
      <c r="E20" s="22">
        <f>IF(Sales!$D$11=0,0,D20/Sales!$D$11)</f>
        <v/>
      </c>
      <c r="F20" s="21" t="n">
        <v>17809.4</v>
      </c>
      <c r="G20" s="21">
        <f>D20-F20</f>
        <v/>
      </c>
      <c r="H20" s="22">
        <f>IF(D20=0,0,G20/D20)</f>
        <v/>
      </c>
      <c r="I20" s="21">
        <f>IF(B20=0,0,D20/B20)</f>
        <v/>
      </c>
    </row>
    <row r="21">
      <c r="A21" s="14" t="inlineStr">
        <is>
          <t>Блузон молочний</t>
        </is>
      </c>
      <c r="B21" s="21" t="n">
        <v>2</v>
      </c>
      <c r="C21" s="22">
        <f>IF(Sales!$C$11=0,0,B21/Sales!$C$11)</f>
        <v/>
      </c>
      <c r="D21" s="21" t="n">
        <v>23695.9</v>
      </c>
      <c r="E21" s="22">
        <f>IF(Sales!$D$11=0,0,D21/Sales!$D$11)</f>
        <v/>
      </c>
      <c r="F21" s="21" t="n">
        <v>8986.58</v>
      </c>
      <c r="G21" s="21">
        <f>D21-F21</f>
        <v/>
      </c>
      <c r="H21" s="22">
        <f>IF(D21=0,0,G21/D21)</f>
        <v/>
      </c>
      <c r="I21" s="21">
        <f>IF(B21=0,0,D21/B21)</f>
        <v/>
      </c>
    </row>
    <row r="22">
      <c r="A22" s="14" t="inlineStr">
        <is>
          <t>Блуза шовкова холтер чорна</t>
        </is>
      </c>
      <c r="B22" s="21" t="n">
        <v>2</v>
      </c>
      <c r="C22" s="22">
        <f>IF(Sales!$C$11=0,0,B22/Sales!$C$11)</f>
        <v/>
      </c>
      <c r="D22" s="21" t="n">
        <v>20635.86</v>
      </c>
      <c r="E22" s="22">
        <f>IF(Sales!$D$11=0,0,D22/Sales!$D$11)</f>
        <v/>
      </c>
      <c r="F22" s="21" t="n">
        <v>6988.4</v>
      </c>
      <c r="G22" s="21">
        <f>D22-F22</f>
        <v/>
      </c>
      <c r="H22" s="22">
        <f>IF(D22=0,0,G22/D22)</f>
        <v/>
      </c>
      <c r="I22" s="21">
        <f>IF(B22=0,0,D22/B22)</f>
        <v/>
      </c>
    </row>
    <row r="23">
      <c r="A23" s="14" t="inlineStr">
        <is>
          <t>Сукня оксамитова максі</t>
        </is>
      </c>
      <c r="B23" s="21" t="n">
        <v>1</v>
      </c>
      <c r="C23" s="22">
        <f>IF(Sales!$C$11=0,0,B23/Sales!$C$11)</f>
        <v/>
      </c>
      <c r="D23" s="21" t="n">
        <v>15500</v>
      </c>
      <c r="E23" s="22">
        <f>IF(Sales!$D$11=0,0,D23/Sales!$D$11)</f>
        <v/>
      </c>
      <c r="F23" s="21" t="n">
        <v>4511</v>
      </c>
      <c r="G23" s="21">
        <f>D23-F23</f>
        <v/>
      </c>
      <c r="H23" s="22">
        <f>IF(D23=0,0,G23/D23)</f>
        <v/>
      </c>
      <c r="I23" s="21">
        <f>IF(B23=0,0,D23/B23)</f>
        <v/>
      </c>
    </row>
    <row r="24">
      <c r="A24" s="14" t="inlineStr">
        <is>
          <t>Спідниця оксамитова міді</t>
        </is>
      </c>
      <c r="B24" s="21" t="n">
        <v>1</v>
      </c>
      <c r="C24" s="22">
        <f>IF(Sales!$C$11=0,0,B24/Sales!$C$11)</f>
        <v/>
      </c>
      <c r="D24" s="21" t="n">
        <v>10500</v>
      </c>
      <c r="E24" s="22">
        <f>IF(Sales!$D$11=0,0,D24/Sales!$D$11)</f>
        <v/>
      </c>
      <c r="F24" s="21" t="n">
        <v>2498.85</v>
      </c>
      <c r="G24" s="21">
        <f>D24-F24</f>
        <v/>
      </c>
      <c r="H24" s="22">
        <f>IF(D24=0,0,G24/D24)</f>
        <v/>
      </c>
      <c r="I24" s="21">
        <f>IF(B24=0,0,D24/B24)</f>
        <v/>
      </c>
    </row>
    <row r="25">
      <c r="A25" s="23" t="inlineStr">
        <is>
          <t>РАЗОМ</t>
        </is>
      </c>
      <c r="B25" s="24">
        <f>SUM(B15:B24)</f>
        <v/>
      </c>
      <c r="C25" s="25">
        <f>SUM(C15:C24)</f>
        <v/>
      </c>
      <c r="D25" s="24">
        <f>SUM(D15:D24)</f>
        <v/>
      </c>
      <c r="E25" s="25">
        <f>SUM(E15:E24)</f>
        <v/>
      </c>
      <c r="F25" s="24">
        <f>SUM(F15:F24)</f>
        <v/>
      </c>
      <c r="G25" s="24">
        <f>D25-F25</f>
        <v/>
      </c>
      <c r="H25" s="25">
        <f>IF(D25=0,0,G25/D25)</f>
        <v/>
      </c>
      <c r="I25" s="24">
        <f>IF(B25=0,0,D25/B25)</f>
        <v/>
      </c>
    </row>
    <row r="27" ht="39" customHeight="1">
      <c r="A27" s="26" t="inlineStr">
        <is>
          <t>Топова позиція: Кафтан оксамитовий — 18 шт, 54% виручки. Це і сила (доведений хіт), і ризик: одна модель тримає весь P&amp;L. Слабкі: Блуза шовкова холтер чорна, Сукня оксамитова максі, Спідниця оксамитова міді — по 1–2 шт за весь період. Рішення «дошивати чи ні» — на аркуші Production Plan.</t>
        </is>
      </c>
      <c r="B27" s="19" t="n"/>
      <c r="C27" s="19" t="n"/>
      <c r="D27" s="19" t="n"/>
      <c r="E27" s="19" t="n"/>
      <c r="F27" s="19" t="n"/>
      <c r="G27" s="19" t="n"/>
      <c r="H27" s="19" t="n"/>
      <c r="I27" s="20" t="n"/>
    </row>
    <row r="29">
      <c r="A29" s="3" t="inlineStr">
        <is>
          <t>Продажі по розмірах</t>
        </is>
      </c>
    </row>
    <row r="30" ht="32" customHeight="1">
      <c r="A30" s="4" t="inlineStr">
        <is>
          <t>SKU</t>
        </is>
      </c>
      <c r="B30" s="4" t="inlineStr">
        <is>
          <t>S</t>
        </is>
      </c>
      <c r="C30" s="4" t="inlineStr">
        <is>
          <t>M</t>
        </is>
      </c>
      <c r="D30" s="4" t="inlineStr">
        <is>
          <t>L</t>
        </is>
      </c>
      <c r="E30" s="4" t="inlineStr">
        <is>
          <t>XL</t>
        </is>
      </c>
      <c r="F30" s="4" t="inlineStr">
        <is>
          <t>Розмір не вказаний</t>
        </is>
      </c>
      <c r="G30" s="4" t="inlineStr">
        <is>
          <t>Разом</t>
        </is>
      </c>
      <c r="H30" s="4" t="inlineStr"/>
      <c r="I30" s="4" t="inlineStr"/>
    </row>
    <row r="31">
      <c r="A31" s="14" t="inlineStr">
        <is>
          <t>Кафтан оксамитовий</t>
        </is>
      </c>
      <c r="B31" s="21" t="n">
        <v>5</v>
      </c>
      <c r="C31" s="21" t="n">
        <v>5</v>
      </c>
      <c r="D31" s="21" t="n">
        <v>6</v>
      </c>
      <c r="E31" s="21" t="n">
        <v>1</v>
      </c>
      <c r="F31" s="21" t="n">
        <v>1</v>
      </c>
      <c r="G31" s="27">
        <f>SUM(B31:F31)</f>
        <v/>
      </c>
    </row>
    <row r="32">
      <c r="A32" s="14" t="inlineStr">
        <is>
          <t>Штани сатинові</t>
        </is>
      </c>
      <c r="B32" s="21" t="n">
        <v>2</v>
      </c>
      <c r="C32" s="21" t="n">
        <v>2</v>
      </c>
      <c r="D32" s="21" t="n">
        <v>1</v>
      </c>
      <c r="E32" s="21" t="n">
        <v>0</v>
      </c>
      <c r="F32" s="21" t="n">
        <v>2</v>
      </c>
      <c r="G32" s="27">
        <f>SUM(B32:F32)</f>
        <v/>
      </c>
    </row>
    <row r="33">
      <c r="A33" s="14" t="inlineStr">
        <is>
          <t>Жакет оксамитовий</t>
        </is>
      </c>
      <c r="B33" s="21" t="n">
        <v>0</v>
      </c>
      <c r="C33" s="21" t="n">
        <v>1</v>
      </c>
      <c r="D33" s="21" t="n">
        <v>0</v>
      </c>
      <c r="E33" s="21" t="n">
        <v>0</v>
      </c>
      <c r="F33" s="21" t="n">
        <v>3</v>
      </c>
      <c r="G33" s="27">
        <f>SUM(B33:F33)</f>
        <v/>
      </c>
    </row>
    <row r="34">
      <c r="A34" s="14" t="inlineStr">
        <is>
          <t>Штани оксамитові</t>
        </is>
      </c>
      <c r="B34" s="21" t="n">
        <v>1</v>
      </c>
      <c r="C34" s="21" t="n">
        <v>1</v>
      </c>
      <c r="D34" s="21" t="n">
        <v>1</v>
      </c>
      <c r="E34" s="21" t="n">
        <v>0</v>
      </c>
      <c r="F34" s="21" t="n">
        <v>2</v>
      </c>
      <c r="G34" s="27">
        <f>SUM(B34:F34)</f>
        <v/>
      </c>
    </row>
    <row r="35">
      <c r="A35" s="14" t="inlineStr">
        <is>
          <t>Блуза шовкова холтер</t>
        </is>
      </c>
      <c r="B35" s="21" t="n">
        <v>2</v>
      </c>
      <c r="C35" s="21" t="n">
        <v>2</v>
      </c>
      <c r="D35" s="21" t="n">
        <v>0</v>
      </c>
      <c r="E35" s="21" t="n">
        <v>0</v>
      </c>
      <c r="F35" s="21" t="n">
        <v>4</v>
      </c>
      <c r="G35" s="27">
        <f>SUM(B35:F35)</f>
        <v/>
      </c>
    </row>
    <row r="36">
      <c r="A36" s="14" t="inlineStr">
        <is>
          <t>Блуза шовкова лавальєр</t>
        </is>
      </c>
      <c r="B36" s="21" t="n">
        <v>1</v>
      </c>
      <c r="C36" s="21" t="n">
        <v>2</v>
      </c>
      <c r="D36" s="21" t="n">
        <v>1</v>
      </c>
      <c r="E36" s="21" t="n">
        <v>0</v>
      </c>
      <c r="F36" s="21" t="n">
        <v>2</v>
      </c>
      <c r="G36" s="27">
        <f>SUM(B36:F36)</f>
        <v/>
      </c>
    </row>
    <row r="37">
      <c r="A37" s="14" t="inlineStr">
        <is>
          <t>Блузон молочний</t>
        </is>
      </c>
      <c r="B37" s="21" t="n">
        <v>2</v>
      </c>
      <c r="C37" s="21" t="n">
        <v>0</v>
      </c>
      <c r="D37" s="21" t="n">
        <v>0</v>
      </c>
      <c r="E37" s="21" t="n">
        <v>0</v>
      </c>
      <c r="F37" s="21" t="n">
        <v>0</v>
      </c>
      <c r="G37" s="27">
        <f>SUM(B37:F37)</f>
        <v/>
      </c>
    </row>
    <row r="38">
      <c r="A38" s="14" t="inlineStr">
        <is>
          <t>Блуза шовкова холтер чорна</t>
        </is>
      </c>
      <c r="B38" s="21" t="n">
        <v>0</v>
      </c>
      <c r="C38" s="21" t="n">
        <v>1</v>
      </c>
      <c r="D38" s="21" t="n">
        <v>1</v>
      </c>
      <c r="E38" s="21" t="n">
        <v>0</v>
      </c>
      <c r="F38" s="21" t="n">
        <v>0</v>
      </c>
      <c r="G38" s="27">
        <f>SUM(B38:F38)</f>
        <v/>
      </c>
    </row>
    <row r="39">
      <c r="A39" s="14" t="inlineStr">
        <is>
          <t>Сукня оксамитова максі</t>
        </is>
      </c>
      <c r="B39" s="21" t="n">
        <v>0</v>
      </c>
      <c r="C39" s="21" t="n">
        <v>0</v>
      </c>
      <c r="D39" s="21" t="n">
        <v>0</v>
      </c>
      <c r="E39" s="21" t="n">
        <v>0</v>
      </c>
      <c r="F39" s="21" t="n">
        <v>1</v>
      </c>
      <c r="G39" s="27">
        <f>SUM(B39:F39)</f>
        <v/>
      </c>
    </row>
    <row r="40">
      <c r="A40" s="14" t="inlineStr">
        <is>
          <t>Спідниця оксамитова міді</t>
        </is>
      </c>
      <c r="B40" s="21" t="n">
        <v>0</v>
      </c>
      <c r="C40" s="21" t="n">
        <v>0</v>
      </c>
      <c r="D40" s="21" t="n">
        <v>0</v>
      </c>
      <c r="E40" s="21" t="n">
        <v>0</v>
      </c>
      <c r="F40" s="21" t="n">
        <v>1</v>
      </c>
      <c r="G40" s="27">
        <f>SUM(B40:F40)</f>
        <v/>
      </c>
    </row>
    <row r="41">
      <c r="A41" s="23" t="inlineStr">
        <is>
          <t>РАЗОМ</t>
        </is>
      </c>
      <c r="B41" s="24">
        <f>SUM(B31:B40)</f>
        <v/>
      </c>
      <c r="C41" s="24">
        <f>SUM(C31:C40)</f>
        <v/>
      </c>
      <c r="D41" s="24">
        <f>SUM(D31:D40)</f>
        <v/>
      </c>
      <c r="E41" s="24">
        <f>SUM(E31:E40)</f>
        <v/>
      </c>
      <c r="F41" s="24">
        <f>SUM(F31:F40)</f>
        <v/>
      </c>
      <c r="G41" s="24">
        <f>SUM(G31:G40)</f>
        <v/>
      </c>
    </row>
    <row r="43" ht="32" customHeight="1">
      <c r="A43" s="28" t="inlineStr">
        <is>
          <t>У 16 із 54 одиниць (30%) розміру в назві товару немає. Тому розмірна структура попередня: різниця між S і M у межах похибки.</t>
        </is>
      </c>
      <c r="B43" s="19" t="n"/>
      <c r="C43" s="19" t="n"/>
      <c r="D43" s="19" t="n"/>
      <c r="E43" s="19" t="n"/>
      <c r="F43" s="19" t="n"/>
      <c r="G43" s="19" t="n"/>
      <c r="H43" s="19" t="n"/>
      <c r="I43" s="20" t="n"/>
    </row>
  </sheetData>
  <mergeCells count="7">
    <mergeCell ref="A29:I29"/>
    <mergeCell ref="A43:I43"/>
    <mergeCell ref="A2:I2"/>
    <mergeCell ref="A13:I13"/>
    <mergeCell ref="A1:I1"/>
    <mergeCell ref="A27:I27"/>
    <mergeCell ref="A4:I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8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0" customWidth="1" min="2" max="2"/>
    <col width="18" customWidth="1" min="3" max="3"/>
    <col width="14" customWidth="1" min="4" max="4"/>
    <col width="13" customWidth="1" min="5" max="5"/>
    <col width="15" customWidth="1" min="6" max="6"/>
    <col width="17" customWidth="1" min="7" max="7"/>
    <col width="12" customWidth="1" min="8" max="8"/>
  </cols>
  <sheetData>
    <row r="1" ht="24" customHeight="1">
      <c r="A1" s="1" t="inlineStr">
        <is>
          <t>Залишки складу на 2026-07-31 — 42 одиниць</t>
        </is>
      </c>
    </row>
    <row r="2" ht="42" customHeight="1">
      <c r="A2" s="2" t="inlineStr">
        <is>
          <t>Фактична вигрузка складської системи з артикулами по кожному розміру. Це джерело наявності: «производство.xlsx» показував 53 готових одиниці й розходився з документами. Відсортовано за грошима, які позиція принесе, якщо продати весь запас.</t>
        </is>
      </c>
    </row>
    <row r="4" ht="32" customHeight="1">
      <c r="A4" s="4" t="inlineStr">
        <is>
          <t>Позиція</t>
        </is>
      </c>
      <c r="B4" s="4" t="inlineStr">
        <is>
          <t>Одиниць</t>
        </is>
      </c>
      <c r="C4" s="4" t="inlineStr">
        <is>
          <t>Розміри</t>
        </is>
      </c>
      <c r="D4" s="4" t="inlineStr">
        <is>
          <t>Собівартість</t>
        </is>
      </c>
      <c r="E4" s="4" t="inlineStr">
        <is>
          <t>Роздріб</t>
        </is>
      </c>
      <c r="F4" s="4" t="inlineStr">
        <is>
          <t>Маржа з одиниці</t>
        </is>
      </c>
      <c r="G4" s="4" t="inlineStr">
        <is>
          <t>Маржа з усього запасу</t>
        </is>
      </c>
      <c r="H4" s="4" t="inlineStr">
        <is>
          <t>Що робити</t>
        </is>
      </c>
    </row>
    <row r="5">
      <c r="A5" s="14" t="inlineStr">
        <is>
          <t>Кафтан оксамитовий</t>
        </is>
      </c>
      <c r="B5" s="29" t="n">
        <v>9</v>
      </c>
      <c r="C5" s="13" t="inlineStr">
        <is>
          <t>M·3 S·6</t>
        </is>
      </c>
      <c r="D5" s="30" t="n">
        <v>7825</v>
      </c>
      <c r="E5" s="21" t="n">
        <v>26500</v>
      </c>
      <c r="F5" s="21">
        <f>IFERROR(E5*0.95-D5,"—")</f>
        <v/>
      </c>
      <c r="G5" s="27">
        <f>IFERROR(F5*B5,"—")</f>
        <v/>
      </c>
      <c r="H5" s="31" t="inlineStr">
        <is>
          <t>продавати першим</t>
        </is>
      </c>
    </row>
    <row r="6">
      <c r="A6" s="14" t="inlineStr">
        <is>
          <t>Штани оксамитові</t>
        </is>
      </c>
      <c r="B6" s="29" t="n">
        <v>7</v>
      </c>
      <c r="C6" s="13" t="inlineStr">
        <is>
          <t>M·2 S·5</t>
        </is>
      </c>
      <c r="D6" s="30" t="n">
        <v>2985</v>
      </c>
      <c r="E6" s="21" t="n">
        <v>14500</v>
      </c>
      <c r="F6" s="21">
        <f>IFERROR(E6*0.95-D6,"—")</f>
        <v/>
      </c>
      <c r="G6" s="27">
        <f>IFERROR(F6*B6,"—")</f>
        <v/>
      </c>
      <c r="H6" s="31" t="inlineStr">
        <is>
          <t>продавати першим</t>
        </is>
      </c>
    </row>
    <row r="7">
      <c r="A7" s="14" t="inlineStr">
        <is>
          <t>Штани сатинові</t>
        </is>
      </c>
      <c r="B7" s="29" t="n">
        <v>5</v>
      </c>
      <c r="C7" s="13" t="inlineStr">
        <is>
          <t>L·2 M·2 S·1</t>
        </is>
      </c>
      <c r="D7" s="30" t="n">
        <v>3521</v>
      </c>
      <c r="E7" s="21" t="n">
        <v>12500</v>
      </c>
      <c r="F7" s="21">
        <f>IFERROR(E7*0.95-D7,"—")</f>
        <v/>
      </c>
      <c r="G7" s="27">
        <f>IFERROR(F7*B7,"—")</f>
        <v/>
      </c>
      <c r="H7" s="13" t="inlineStr">
        <is>
          <t>розганяти обсягом</t>
        </is>
      </c>
    </row>
    <row r="8">
      <c r="A8" s="14" t="inlineStr">
        <is>
          <t>Жакет оксамитовий</t>
        </is>
      </c>
      <c r="B8" s="29" t="n">
        <v>3</v>
      </c>
      <c r="C8" s="13" t="inlineStr">
        <is>
          <t>M·2 S·1</t>
        </is>
      </c>
      <c r="D8" s="30" t="n">
        <v>5331</v>
      </c>
      <c r="E8" s="21" t="n">
        <v>19500</v>
      </c>
      <c r="F8" s="21">
        <f>IFERROR(E8*0.95-D8,"—")</f>
        <v/>
      </c>
      <c r="G8" s="27">
        <f>IFERROR(F8*B8,"—")</f>
        <v/>
      </c>
      <c r="H8" s="13" t="inlineStr">
        <is>
          <t>тримати в асортименті</t>
        </is>
      </c>
    </row>
    <row r="9">
      <c r="A9" s="14" t="inlineStr">
        <is>
          <t>Блуза шовкова холтер</t>
        </is>
      </c>
      <c r="B9" s="29" t="n">
        <v>7</v>
      </c>
      <c r="C9" s="13" t="inlineStr">
        <is>
          <t>L·2 M·2 S·3</t>
        </is>
      </c>
      <c r="D9" s="30" t="n">
        <v>2602</v>
      </c>
      <c r="E9" s="21" t="n">
        <v>7500</v>
      </c>
      <c r="F9" s="21">
        <f>IFERROR(E9*0.95-D9,"—")</f>
        <v/>
      </c>
      <c r="G9" s="27">
        <f>IFERROR(F9*B9,"—")</f>
        <v/>
      </c>
      <c r="H9" s="13" t="inlineStr">
        <is>
          <t>розганяти обсягом</t>
        </is>
      </c>
    </row>
    <row r="10">
      <c r="A10" s="14" t="inlineStr">
        <is>
          <t>Спідниця оксамитова міді</t>
        </is>
      </c>
      <c r="B10" s="29" t="n">
        <v>3</v>
      </c>
      <c r="C10" s="13" t="inlineStr">
        <is>
          <t>L·1 M·1 S·1</t>
        </is>
      </c>
      <c r="D10" s="30" t="n">
        <v>2575</v>
      </c>
      <c r="E10" s="21" t="n">
        <v>10500</v>
      </c>
      <c r="F10" s="21">
        <f>IFERROR(E10*0.95-D10,"—")</f>
        <v/>
      </c>
      <c r="G10" s="27">
        <f>IFERROR(F10*B10,"—")</f>
        <v/>
      </c>
      <c r="H10" s="13" t="inlineStr">
        <is>
          <t>тримати в асортименті</t>
        </is>
      </c>
    </row>
    <row r="11">
      <c r="A11" s="14" t="inlineStr">
        <is>
          <t>Блуза шовкова лавальєр</t>
        </is>
      </c>
      <c r="B11" s="29" t="n">
        <v>3</v>
      </c>
      <c r="C11" s="13" t="inlineStr">
        <is>
          <t>M·2 S·1</t>
        </is>
      </c>
      <c r="D11" s="30" t="n">
        <v>2260</v>
      </c>
      <c r="E11" s="21" t="n">
        <v>9000</v>
      </c>
      <c r="F11" s="21">
        <f>IFERROR(E11*0.95-D11,"—")</f>
        <v/>
      </c>
      <c r="G11" s="27">
        <f>IFERROR(F11*B11,"—")</f>
        <v/>
      </c>
      <c r="H11" s="13" t="inlineStr">
        <is>
          <t>тримати в асортименті</t>
        </is>
      </c>
    </row>
    <row r="12">
      <c r="A12" s="14" t="inlineStr">
        <is>
          <t>Блуза шовкова холтер чорна</t>
        </is>
      </c>
      <c r="B12" s="29" t="n">
        <v>2</v>
      </c>
      <c r="C12" s="13" t="inlineStr">
        <is>
          <t>L·1 M·1</t>
        </is>
      </c>
      <c r="D12" s="30" t="n">
        <v>3447</v>
      </c>
      <c r="E12" s="21" t="n">
        <v>9900</v>
      </c>
      <c r="F12" s="21">
        <f>IFERROR(E12*0.95-D12,"—")</f>
        <v/>
      </c>
      <c r="G12" s="27">
        <f>IFERROR(F12*B12,"—")</f>
        <v/>
      </c>
      <c r="H12" s="13" t="inlineStr">
        <is>
          <t>тримати в асортименті</t>
        </is>
      </c>
    </row>
    <row r="13">
      <c r="A13" s="14" t="inlineStr">
        <is>
          <t>Силуетна чорна сукня максі</t>
        </is>
      </c>
      <c r="B13" s="29" t="n">
        <v>1</v>
      </c>
      <c r="C13" s="13" t="inlineStr">
        <is>
          <t>M·1</t>
        </is>
      </c>
      <c r="D13" s="30" t="n">
        <v>4374</v>
      </c>
      <c r="E13" s="21" t="n">
        <v>13900</v>
      </c>
      <c r="F13" s="21">
        <f>IFERROR(E13*0.95-D13,"—")</f>
        <v/>
      </c>
      <c r="G13" s="27">
        <f>IFERROR(F13*B13,"—")</f>
        <v/>
      </c>
      <c r="H13" s="13" t="inlineStr">
        <is>
          <t>тримати в асортименті</t>
        </is>
      </c>
    </row>
    <row r="14">
      <c r="A14" s="14" t="inlineStr">
        <is>
          <t>Силуетна біла сукня максі</t>
        </is>
      </c>
      <c r="B14" s="29" t="n">
        <v>1</v>
      </c>
      <c r="C14" s="13" t="inlineStr">
        <is>
          <t>S·1</t>
        </is>
      </c>
      <c r="D14" s="30" t="n">
        <v>4568</v>
      </c>
      <c r="E14" s="21" t="n">
        <v>13900</v>
      </c>
      <c r="F14" s="21">
        <f>IFERROR(E14*0.95-D14,"—")</f>
        <v/>
      </c>
      <c r="G14" s="27">
        <f>IFERROR(F14*B14,"—")</f>
        <v/>
      </c>
      <c r="H14" s="13" t="inlineStr">
        <is>
          <t>тримати в асортименті</t>
        </is>
      </c>
    </row>
    <row r="15">
      <c r="A15" s="14" t="inlineStr">
        <is>
          <t>Силуетна червона сукня максі</t>
        </is>
      </c>
      <c r="B15" s="29" t="n">
        <v>1</v>
      </c>
      <c r="C15" s="13" t="inlineStr">
        <is>
          <t>M·1</t>
        </is>
      </c>
      <c r="D15" s="30" t="n">
        <v>4568</v>
      </c>
      <c r="E15" s="21" t="n">
        <v>13900</v>
      </c>
      <c r="F15" s="21">
        <f>IFERROR(E15*0.95-D15,"—")</f>
        <v/>
      </c>
      <c r="G15" s="27">
        <f>IFERROR(F15*B15,"—")</f>
        <v/>
      </c>
      <c r="H15" s="13" t="inlineStr">
        <is>
          <t>тримати в асортименті</t>
        </is>
      </c>
    </row>
    <row r="16">
      <c r="A16" s="23" t="inlineStr">
        <is>
          <t>РАЗОМ</t>
        </is>
      </c>
      <c r="B16" s="12">
        <f>SUM(B5:B15)</f>
        <v/>
      </c>
      <c r="C16" s="32" t="inlineStr"/>
      <c r="D16" s="32" t="inlineStr"/>
      <c r="E16" s="32" t="inlineStr"/>
      <c r="F16" s="32" t="inlineStr"/>
      <c r="G16" s="24">
        <f>SUM(G5:G15)</f>
        <v/>
      </c>
      <c r="H16" s="32" t="inlineStr"/>
    </row>
    <row r="18" ht="32" customHeight="1">
      <c r="A18" s="33" t="inlineStr">
        <is>
          <t>Це довідка про те, що є, а не обмеження для плану. Наявний запас — стартовий: продали його, далі шиємо. У планах на осінь ця цифра врахована, але нічого не обмежує.</t>
        </is>
      </c>
      <c r="B18" s="19" t="n"/>
      <c r="C18" s="19" t="n"/>
      <c r="D18" s="19" t="n"/>
      <c r="E18" s="19" t="n"/>
      <c r="F18" s="19" t="n"/>
      <c r="G18" s="19" t="n"/>
      <c r="H18" s="20" t="n"/>
    </row>
  </sheetData>
  <mergeCells count="3">
    <mergeCell ref="A18:H18"/>
    <mergeCell ref="A2:H2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42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6" customWidth="1" min="3" max="3"/>
    <col width="14" customWidth="1" min="4" max="4"/>
    <col width="16" customWidth="1" min="5" max="5"/>
    <col width="14" customWidth="1" min="6" max="6"/>
    <col width="44" customWidth="1" min="7" max="7"/>
  </cols>
  <sheetData>
    <row r="1" ht="24" customHeight="1">
      <c r="A1" s="1" t="inlineStr">
        <is>
          <t>Статуси, джерела і менеджери</t>
        </is>
      </c>
    </row>
    <row r="2" ht="42" customHeight="1">
      <c r="A2" s="2" t="inlineStr">
        <is>
          <t>Коди у вигрузці розшифровані за скрінами CRM і звірені 1:1 по 23 замовленнях. Це головна зміна в моделі: Net Sales — тільки замовлення зі статусом «Виконано».</t>
        </is>
      </c>
    </row>
    <row r="4">
      <c r="A4" s="3" t="inlineStr">
        <is>
          <t>Статуси замовлень</t>
        </is>
      </c>
    </row>
    <row r="5" ht="32" customHeight="1">
      <c r="A5" s="4" t="inlineStr">
        <is>
          <t>Статус</t>
        </is>
      </c>
      <c r="B5" s="4" t="inlineStr">
        <is>
          <t>Замовлень</t>
        </is>
      </c>
      <c r="C5" s="4" t="inlineStr">
        <is>
          <t>Сума, грн</t>
        </is>
      </c>
      <c r="D5" s="4" t="inlineStr">
        <is>
          <t>Частка сум</t>
        </is>
      </c>
      <c r="E5" s="4" t="inlineStr">
        <is>
          <t>Одиниць</t>
        </is>
      </c>
      <c r="F5" s="4" t="inlineStr"/>
      <c r="G5" s="4" t="inlineStr">
        <is>
          <t>Що це означає</t>
        </is>
      </c>
    </row>
    <row r="6">
      <c r="A6" s="34" t="inlineStr">
        <is>
          <t>Виконано</t>
        </is>
      </c>
      <c r="B6" s="27" t="n">
        <v>20</v>
      </c>
      <c r="C6" s="27" t="n">
        <v>403395</v>
      </c>
      <c r="D6" s="22">
        <f>IF($C$11=0,0,C6/$C$11)</f>
        <v/>
      </c>
      <c r="E6" s="21" t="n">
        <v>27</v>
      </c>
      <c r="G6" s="13" t="inlineStr">
        <is>
          <t>Гроші отримані. Тільки це — Net Sales</t>
        </is>
      </c>
    </row>
    <row r="7">
      <c r="A7" s="14" t="inlineStr">
        <is>
          <t>Повернено</t>
        </is>
      </c>
      <c r="B7" s="21" t="n">
        <v>11</v>
      </c>
      <c r="C7" s="21" t="n">
        <v>215750</v>
      </c>
      <c r="D7" s="22">
        <f>IF($C$11=0,0,C7/$C$11)</f>
        <v/>
      </c>
      <c r="E7" s="21" t="n">
        <v>12</v>
      </c>
      <c r="G7" s="13" t="inlineStr">
        <is>
          <t>Клієнт повернув або не забрав із відділення</t>
        </is>
      </c>
    </row>
    <row r="8">
      <c r="A8" s="14" t="inlineStr">
        <is>
          <t>Відмова</t>
        </is>
      </c>
      <c r="B8" s="21" t="n">
        <v>6</v>
      </c>
      <c r="C8" s="21" t="n">
        <v>156125</v>
      </c>
      <c r="D8" s="22">
        <f>IF($C$11=0,0,C8/$C$11)</f>
        <v/>
      </c>
      <c r="E8" s="21" t="n">
        <v>9</v>
      </c>
      <c r="G8" s="13" t="inlineStr">
        <is>
          <t>Клієнт відмовився до відправки</t>
        </is>
      </c>
    </row>
    <row r="9">
      <c r="A9" s="14" t="inlineStr">
        <is>
          <t>В роботі</t>
        </is>
      </c>
      <c r="B9" s="21" t="n">
        <v>1</v>
      </c>
      <c r="C9" s="21" t="n">
        <v>21280</v>
      </c>
      <c r="D9" s="22">
        <f>IF($C$11=0,0,C9/$C$11)</f>
        <v/>
      </c>
      <c r="E9" s="21" t="n">
        <v>2</v>
      </c>
      <c r="G9" s="13" t="inlineStr">
        <is>
          <t>Ще обробляється</t>
        </is>
      </c>
    </row>
    <row r="10">
      <c r="A10" s="14" t="inlineStr">
        <is>
          <t>Instagram</t>
        </is>
      </c>
      <c r="B10" s="21" t="n">
        <v>3</v>
      </c>
      <c r="C10" s="21" t="n">
        <v>75860</v>
      </c>
      <c r="D10" s="22">
        <f>IF($C$11=0,0,C10/$C$11)</f>
        <v/>
      </c>
      <c r="E10" s="21" t="n">
        <v>4</v>
      </c>
      <c r="G10" s="13" t="inlineStr">
        <is>
          <t>Стадія воронки в CRM, не завершене замовлення</t>
        </is>
      </c>
    </row>
    <row r="11">
      <c r="A11" s="23" t="inlineStr">
        <is>
          <t>РАЗОМ</t>
        </is>
      </c>
      <c r="B11" s="24">
        <f>SUM(B6:B10)</f>
        <v/>
      </c>
      <c r="C11" s="24">
        <f>SUM(C6:C10)</f>
        <v/>
      </c>
      <c r="D11" s="25" t="n">
        <v>1</v>
      </c>
      <c r="E11" s="24">
        <f>SUM(E6:E10)</f>
        <v/>
      </c>
    </row>
    <row r="13">
      <c r="A13" s="3" t="inlineStr">
        <is>
          <t>Net Sales — те, з чого рахується вся модель</t>
        </is>
      </c>
    </row>
    <row r="14" ht="32" customHeight="1">
      <c r="A14" s="4" t="inlineStr">
        <is>
          <t>Показник</t>
        </is>
      </c>
      <c r="B14" s="4" t="inlineStr">
        <is>
          <t>Значення</t>
        </is>
      </c>
      <c r="C14" s="4" t="inlineStr"/>
      <c r="D14" s="4" t="inlineStr"/>
      <c r="E14" s="4" t="inlineStr"/>
      <c r="F14" s="4" t="inlineStr"/>
      <c r="G14" s="4" t="inlineStr">
        <is>
          <t>Коментар</t>
        </is>
      </c>
    </row>
    <row r="15">
      <c r="A15" s="14" t="inlineStr">
        <is>
          <t>Замовлень «Виконано»</t>
        </is>
      </c>
      <c r="B15" s="27">
        <f>B6</f>
        <v/>
      </c>
      <c r="G15" s="13" t="inlineStr"/>
    </row>
    <row r="16">
      <c r="A16" s="14" t="inlineStr">
        <is>
          <t>Одиниць продано</t>
        </is>
      </c>
      <c r="B16" s="27">
        <f>E6</f>
        <v/>
      </c>
      <c r="G16" s="13" t="inlineStr"/>
    </row>
    <row r="17">
      <c r="A17" s="5" t="inlineStr">
        <is>
          <t>NET SALES, грн</t>
        </is>
      </c>
      <c r="B17" s="6">
        <f>C6</f>
        <v/>
      </c>
      <c r="G17" s="13" t="inlineStr">
        <is>
          <t>Замість валових 872 410 грн</t>
        </is>
      </c>
    </row>
    <row r="18">
      <c r="A18" s="14" t="inlineStr">
        <is>
          <t>Собівартість проданого, грн</t>
        </is>
      </c>
      <c r="B18" s="27" t="n">
        <v>132080.75</v>
      </c>
      <c r="G18" s="13" t="inlineStr"/>
    </row>
    <row r="19">
      <c r="A19" s="14" t="inlineStr">
        <is>
          <t>Валова маржа Net, %</t>
        </is>
      </c>
      <c r="B19" s="35">
        <f>IF(B17=0,0,(B17-B18)/B17)</f>
        <v/>
      </c>
      <c r="G19" s="13" t="inlineStr"/>
    </row>
    <row r="20">
      <c r="A20" s="5" t="inlineStr">
        <is>
          <t>Середній чек Net, грн</t>
        </is>
      </c>
      <c r="B20" s="6">
        <f>IF(B15=0,0,B17/B15)</f>
        <v/>
      </c>
      <c r="G20" s="13" t="inlineStr">
        <is>
          <t>Саме він іде в план продажів</t>
        </is>
      </c>
    </row>
    <row r="21">
      <c r="A21" s="14" t="inlineStr">
        <is>
          <t>Середня ціна одиниці Net, грн</t>
        </is>
      </c>
      <c r="B21" s="27">
        <f>IF(B16=0,0,B17/B16)</f>
        <v/>
      </c>
      <c r="G21" s="13" t="inlineStr"/>
    </row>
    <row r="22">
      <c r="A22" s="14" t="inlineStr">
        <is>
          <t>Втрати на поверненнях і відмовах, грн</t>
        </is>
      </c>
      <c r="B22" s="36">
        <f>C7+C8</f>
        <v/>
      </c>
      <c r="G22" s="13" t="inlineStr">
        <is>
          <t>Ці замовлення були, товар їздив, але грошей немає</t>
        </is>
      </c>
    </row>
    <row r="23">
      <c r="A23" s="14" t="inlineStr">
        <is>
          <t>Частка втрат від валової суми</t>
        </is>
      </c>
      <c r="B23" s="37">
        <f>IF(C11=0,0,B22/C11)</f>
        <v/>
      </c>
      <c r="G23" s="13" t="inlineStr">
        <is>
          <t>Це і є той розрив між сумою замовлень і грошима</t>
        </is>
      </c>
    </row>
    <row r="25" ht="52" customHeight="1">
      <c r="A25" s="18" t="inlineStr">
        <is>
          <t>До розшифровки статусів модель рахувалась від валової суми замовлень 872 410 грн. Насправді Net Sales удвічі менші. Це не помилка попереднього розрахунку — просто у вигрузці не було назв колонок, і статуси неможливо було відрізнити. Тепер усі плани й беззбитковість рахуються від Net.</t>
        </is>
      </c>
      <c r="B25" s="19" t="n"/>
      <c r="C25" s="19" t="n"/>
      <c r="D25" s="19" t="n"/>
      <c r="E25" s="19" t="n"/>
      <c r="F25" s="19" t="n"/>
      <c r="G25" s="20" t="n"/>
    </row>
    <row r="27">
      <c r="A27" s="3" t="inlineStr">
        <is>
          <t>Джерела замовлень</t>
        </is>
      </c>
    </row>
    <row r="28" ht="32" customHeight="1">
      <c r="A28" s="4" t="inlineStr">
        <is>
          <t>Джерело</t>
        </is>
      </c>
      <c r="B28" s="4" t="inlineStr">
        <is>
          <t>Замовлень</t>
        </is>
      </c>
      <c r="C28" s="4" t="inlineStr">
        <is>
          <t>з них Виконано</t>
        </is>
      </c>
      <c r="D28" s="4" t="inlineStr">
        <is>
          <t>Конверсія в оплату</t>
        </is>
      </c>
      <c r="E28" s="4" t="inlineStr">
        <is>
          <t>Net Sales, грн</t>
        </is>
      </c>
      <c r="F28" s="4" t="inlineStr">
        <is>
          <t>Середній чек Net</t>
        </is>
      </c>
      <c r="G28" s="4" t="inlineStr">
        <is>
          <t>Коментар</t>
        </is>
      </c>
    </row>
    <row r="29">
      <c r="A29" s="14" t="inlineStr">
        <is>
          <t>Instagram</t>
        </is>
      </c>
      <c r="B29" s="21" t="n">
        <v>22</v>
      </c>
      <c r="C29" s="21" t="n">
        <v>8</v>
      </c>
      <c r="D29" s="22">
        <f>IF(B29=0,0,C29/B29)</f>
        <v/>
      </c>
      <c r="E29" s="27" t="n">
        <v>168800</v>
      </c>
      <c r="F29" s="21">
        <f>IF(C29=0,0,E29/C29)</f>
        <v/>
      </c>
    </row>
    <row r="30">
      <c r="A30" s="14" t="inlineStr">
        <is>
          <t>не вказано</t>
        </is>
      </c>
      <c r="B30" s="21" t="n">
        <v>9</v>
      </c>
      <c r="C30" s="21" t="n">
        <v>8</v>
      </c>
      <c r="D30" s="22">
        <f>IF(B30=0,0,C30/B30)</f>
        <v/>
      </c>
      <c r="E30" s="27" t="n">
        <v>142250</v>
      </c>
      <c r="F30" s="21">
        <f>IF(C30=0,0,E30/C30)</f>
        <v/>
      </c>
    </row>
    <row r="31">
      <c r="A31" s="14" t="inlineStr">
        <is>
          <t>Site</t>
        </is>
      </c>
      <c r="B31" s="21" t="n">
        <v>10</v>
      </c>
      <c r="C31" s="21" t="n">
        <v>4</v>
      </c>
      <c r="D31" s="22">
        <f>IF(B31=0,0,C31/B31)</f>
        <v/>
      </c>
      <c r="E31" s="27" t="n">
        <v>92345</v>
      </c>
      <c r="F31" s="21">
        <f>IF(C31=0,0,E31/C31)</f>
        <v/>
      </c>
    </row>
    <row r="32">
      <c r="A32" s="23" t="inlineStr">
        <is>
          <t>РАЗОМ</t>
        </is>
      </c>
      <c r="B32" s="24">
        <f>SUM(B29:B31)</f>
        <v/>
      </c>
      <c r="C32" s="24">
        <f>SUM(C29:C31)</f>
        <v/>
      </c>
      <c r="D32" s="25">
        <f>IF(B32=0,0,C32/B32)</f>
        <v/>
      </c>
      <c r="E32" s="24">
        <f>SUM(E29:E31)</f>
        <v/>
      </c>
      <c r="F32" s="24">
        <f>IF(C32=0,0,E32/C32)</f>
        <v/>
      </c>
    </row>
    <row r="34" ht="39" customHeight="1">
      <c r="A34" s="28" t="inlineStr">
        <is>
          <t>У 9 замовлень джерело не вказане, і саме вони дають найвищу конверсію в оплату. Тобто поле джерела заповнюється не завжди — тримати на ньому рішення про розподіл маркетингового бюджету поки не можна. Спершу треба, щоб менеджери заповнювали джерело в кожному замовленні.</t>
        </is>
      </c>
      <c r="B34" s="19" t="n"/>
      <c r="C34" s="19" t="n"/>
      <c r="D34" s="19" t="n"/>
      <c r="E34" s="19" t="n"/>
      <c r="F34" s="19" t="n"/>
      <c r="G34" s="20" t="n"/>
    </row>
    <row r="36">
      <c r="A36" s="3" t="inlineStr">
        <is>
          <t>Менеджери</t>
        </is>
      </c>
    </row>
    <row r="37" ht="32" customHeight="1">
      <c r="A37" s="4" t="inlineStr">
        <is>
          <t>Менеджер</t>
        </is>
      </c>
      <c r="B37" s="4" t="inlineStr">
        <is>
          <t>Замовлень</t>
        </is>
      </c>
      <c r="C37" s="4" t="inlineStr">
        <is>
          <t>з них Виконано</t>
        </is>
      </c>
      <c r="D37" s="4" t="inlineStr">
        <is>
          <t>Конверсія в оплату</t>
        </is>
      </c>
      <c r="E37" s="4" t="inlineStr">
        <is>
          <t>Net Sales, грн</t>
        </is>
      </c>
      <c r="F37" s="4" t="inlineStr">
        <is>
          <t>Середній чек Net</t>
        </is>
      </c>
      <c r="G37" s="4" t="inlineStr">
        <is>
          <t>Коментар</t>
        </is>
      </c>
    </row>
    <row r="38">
      <c r="A38" s="14" t="inlineStr">
        <is>
          <t>Христина</t>
        </is>
      </c>
      <c r="B38" s="21" t="n">
        <v>26</v>
      </c>
      <c r="C38" s="21" t="n">
        <v>15</v>
      </c>
      <c r="D38" s="22">
        <f>IF(B38=0,0,C38/B38)</f>
        <v/>
      </c>
      <c r="E38" s="27" t="n">
        <v>274995</v>
      </c>
      <c r="F38" s="21">
        <f>IF(C38=0,0,E38/C38)</f>
        <v/>
      </c>
    </row>
    <row r="39">
      <c r="A39" s="14" t="inlineStr">
        <is>
          <t>Горшеніна Крістіна</t>
        </is>
      </c>
      <c r="B39" s="21" t="n">
        <v>15</v>
      </c>
      <c r="C39" s="21" t="n">
        <v>5</v>
      </c>
      <c r="D39" s="22">
        <f>IF(B39=0,0,C39/B39)</f>
        <v/>
      </c>
      <c r="E39" s="27" t="n">
        <v>128400</v>
      </c>
      <c r="F39" s="21">
        <f>IF(C39=0,0,E39/C39)</f>
        <v/>
      </c>
    </row>
    <row r="40">
      <c r="A40" s="23" t="inlineStr">
        <is>
          <t>РАЗОМ</t>
        </is>
      </c>
      <c r="B40" s="24">
        <f>SUM(B38:B39)</f>
        <v/>
      </c>
      <c r="C40" s="24">
        <f>SUM(C38:C39)</f>
        <v/>
      </c>
      <c r="D40" s="25">
        <f>IF(B40=0,0,C40/B40)</f>
        <v/>
      </c>
      <c r="E40" s="24">
        <f>SUM(E38:E39)</f>
        <v/>
      </c>
    </row>
    <row r="42" ht="32" customHeight="1">
      <c r="A42" s="28" t="inlineStr">
        <is>
          <t>Різниця в конверсії між менеджерами велика, але база маленька — по 15 і 26 замовлень. Це привід подивитись, як саме ведуться замовлення, а не робити кадрові висновки.</t>
        </is>
      </c>
      <c r="B42" s="19" t="n"/>
      <c r="C42" s="19" t="n"/>
      <c r="D42" s="19" t="n"/>
      <c r="E42" s="19" t="n"/>
      <c r="F42" s="19" t="n"/>
      <c r="G42" s="20" t="n"/>
    </row>
  </sheetData>
  <mergeCells count="9">
    <mergeCell ref="A13:G13"/>
    <mergeCell ref="A36:G36"/>
    <mergeCell ref="A1:G1"/>
    <mergeCell ref="A27:G27"/>
    <mergeCell ref="A34:G34"/>
    <mergeCell ref="A4:G4"/>
    <mergeCell ref="A2:G2"/>
    <mergeCell ref="A25:G25"/>
    <mergeCell ref="A42:G4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20" customWidth="1" min="3" max="3"/>
    <col width="9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 ht="24" customHeight="1">
      <c r="A1" s="1" t="inlineStr">
        <is>
          <t>Шоурум — продажі, яких немає у вигрузці CRM</t>
        </is>
      </c>
    </row>
    <row r="2" ht="42" customHeight="1">
      <c r="A2" s="2" t="inlineStr">
        <is>
          <t>Відновлено з первинних документів ФОП Лотоцька Христина · Івано-Франківськ → ФОП Плоскіна Анастасія Василівна. Арифметику кожного звірено з його ж підсумком. «Рахунок на оплату» = оплачено, це виручка. «Накладна» = передача по замовленню: щось відправлено, щось у залі, щось шиється — це ще не гроші. У КОЖНОМУ рядку всіх документів ціна для партнера = рівно 60% роздрібної.</t>
        </is>
      </c>
    </row>
    <row r="4">
      <c r="A4" s="3" t="inlineStr">
        <is>
          <t>Документи</t>
        </is>
      </c>
    </row>
    <row r="5" ht="32" customHeight="1">
      <c r="A5" s="4" t="inlineStr">
        <is>
          <t>Документ</t>
        </is>
      </c>
      <c r="B5" s="4" t="inlineStr">
        <is>
          <t>Дата</t>
        </is>
      </c>
      <c r="C5" s="4" t="inlineStr">
        <is>
          <t>Статус</t>
        </is>
      </c>
      <c r="D5" s="4" t="inlineStr">
        <is>
          <t>Од</t>
        </is>
      </c>
      <c r="E5" s="4" t="inlineStr">
        <is>
          <t>Роздріб, грн</t>
        </is>
      </c>
      <c r="F5" s="4" t="inlineStr">
        <is>
          <t>Бренду, грн</t>
        </is>
      </c>
      <c r="G5" s="4" t="inlineStr">
        <is>
          <t>Собівартість</t>
        </is>
      </c>
      <c r="H5" s="4" t="inlineStr">
        <is>
          <t>Маржа</t>
        </is>
      </c>
    </row>
    <row r="6">
      <c r="A6" s="5" t="inlineStr">
        <is>
          <t>Рахунок № 761</t>
        </is>
      </c>
      <c r="B6" s="13" t="inlineStr">
        <is>
          <t>2026-07-22</t>
        </is>
      </c>
      <c r="C6" s="38" t="inlineStr">
        <is>
          <t>ОПЛАЧЕНО</t>
        </is>
      </c>
      <c r="D6" s="29" t="n">
        <v>7</v>
      </c>
      <c r="E6" s="21" t="n">
        <v>82500</v>
      </c>
      <c r="F6" s="27" t="n">
        <v>49500</v>
      </c>
      <c r="G6" s="30" t="n">
        <v>26518</v>
      </c>
      <c r="H6" s="21">
        <f>F6-G6</f>
        <v/>
      </c>
    </row>
    <row r="7">
      <c r="A7" s="5" t="inlineStr">
        <is>
          <t>Накладна № 1101</t>
        </is>
      </c>
      <c r="B7" s="13" t="inlineStr">
        <is>
          <t>2026-07-28</t>
        </is>
      </c>
      <c r="C7" s="39" t="inlineStr">
        <is>
          <t>передано, не оплачено</t>
        </is>
      </c>
      <c r="D7" s="29" t="n">
        <v>9</v>
      </c>
      <c r="E7" s="21" t="n">
        <v>125700</v>
      </c>
      <c r="F7" s="21" t="n">
        <v>75420</v>
      </c>
      <c r="G7" s="30" t="n">
        <v>37259</v>
      </c>
      <c r="H7" s="21">
        <f>F7-G7</f>
        <v/>
      </c>
    </row>
    <row r="8">
      <c r="A8" s="5" t="inlineStr">
        <is>
          <t>Рахунок № 1151/3</t>
        </is>
      </c>
      <c r="B8" s="13" t="inlineStr">
        <is>
          <t>2026-07-30</t>
        </is>
      </c>
      <c r="C8" s="38" t="inlineStr">
        <is>
          <t>ОПЛАЧЕНО</t>
        </is>
      </c>
      <c r="D8" s="29" t="n">
        <v>3</v>
      </c>
      <c r="E8" s="21" t="n">
        <v>41700</v>
      </c>
      <c r="F8" s="27" t="n">
        <v>25020</v>
      </c>
      <c r="G8" s="30" t="n">
        <v>13509</v>
      </c>
      <c r="H8" s="21">
        <f>F8-G8</f>
        <v/>
      </c>
    </row>
    <row r="9">
      <c r="A9" s="5" t="inlineStr">
        <is>
          <t>Накладна № 1287</t>
        </is>
      </c>
      <c r="B9" s="13" t="inlineStr">
        <is>
          <t>2026-08-01</t>
        </is>
      </c>
      <c r="C9" s="39" t="inlineStr">
        <is>
          <t>передано, не оплачено</t>
        </is>
      </c>
      <c r="D9" s="29" t="n">
        <v>5</v>
      </c>
      <c r="E9" s="21" t="n">
        <v>59500</v>
      </c>
      <c r="F9" s="21" t="n">
        <v>35700</v>
      </c>
      <c r="G9" s="30" t="n">
        <v>19093</v>
      </c>
      <c r="H9" s="21">
        <f>F9-G9</f>
        <v/>
      </c>
    </row>
    <row r="10">
      <c r="A10" s="34" t="inlineStr">
        <is>
          <t>ОПЛАЧЕНО — виручка</t>
        </is>
      </c>
      <c r="D10" s="40" t="n">
        <v>10</v>
      </c>
      <c r="E10" s="41" t="n">
        <v>124200</v>
      </c>
      <c r="F10" s="41" t="n">
        <v>74520</v>
      </c>
      <c r="G10" s="41" t="n">
        <v>40026</v>
      </c>
      <c r="H10" s="41">
        <f>F10-G10</f>
        <v/>
      </c>
    </row>
    <row r="11">
      <c r="A11" s="42" t="inlineStr">
        <is>
          <t>ПЕРЕДАНО — ще не гроші</t>
        </is>
      </c>
      <c r="D11" s="43" t="n">
        <v>14</v>
      </c>
      <c r="E11" s="44" t="n">
        <v>185200</v>
      </c>
      <c r="F11" s="44" t="n">
        <v>111120</v>
      </c>
      <c r="G11" s="44" t="n">
        <v>56353</v>
      </c>
      <c r="H11" s="44">
        <f>F11-G11</f>
        <v/>
      </c>
    </row>
    <row r="12">
      <c r="A12" s="23" t="inlineStr">
        <is>
          <t>Разом</t>
        </is>
      </c>
      <c r="D12" s="12" t="n">
        <v>24</v>
      </c>
      <c r="E12" s="24" t="n">
        <v>309400</v>
      </c>
      <c r="F12" s="24" t="n">
        <v>185640</v>
      </c>
      <c r="G12" s="24" t="n">
        <v>96379</v>
      </c>
      <c r="H12" s="24">
        <f>F12-G12</f>
        <v/>
      </c>
    </row>
    <row r="14">
      <c r="A14" s="3" t="inlineStr">
        <is>
          <t>Що саме бере шоурум</t>
        </is>
      </c>
    </row>
    <row r="15" ht="32" customHeight="1">
      <c r="A15" s="4" t="inlineStr">
        <is>
          <t>Позиція</t>
        </is>
      </c>
      <c r="B15" s="4" t="inlineStr">
        <is>
          <t>Одиниць</t>
        </is>
      </c>
      <c r="C15" s="4" t="inlineStr">
        <is>
          <t>Розміри</t>
        </is>
      </c>
      <c r="D15" s="4" t="inlineStr"/>
      <c r="E15" s="4" t="inlineStr">
        <is>
          <t>Роздріб</t>
        </is>
      </c>
      <c r="F15" s="4" t="inlineStr">
        <is>
          <t>Бренду з одиниці</t>
        </is>
      </c>
      <c r="G15" s="4" t="inlineStr">
        <is>
          <t>Собівартість</t>
        </is>
      </c>
      <c r="H15" s="4" t="inlineStr">
        <is>
          <t>Маржа з одиниці</t>
        </is>
      </c>
    </row>
    <row r="16">
      <c r="A16" s="14" t="inlineStr">
        <is>
          <t>Штани сатинові</t>
        </is>
      </c>
      <c r="B16" s="29" t="n">
        <v>7</v>
      </c>
      <c r="C16" s="13" t="inlineStr">
        <is>
          <t>L·2 M·1 S·4</t>
        </is>
      </c>
      <c r="D16" s="14" t="inlineStr"/>
      <c r="E16" s="30" t="n">
        <v>12500</v>
      </c>
      <c r="F16" s="21" t="n">
        <v>7500</v>
      </c>
      <c r="G16" s="30" t="n">
        <v>3521</v>
      </c>
      <c r="H16" s="27">
        <f>F16-G16</f>
        <v/>
      </c>
    </row>
    <row r="17">
      <c r="A17" s="14" t="inlineStr">
        <is>
          <t>Силуетна червона сукня максі</t>
        </is>
      </c>
      <c r="B17" s="29" t="n">
        <v>5</v>
      </c>
      <c r="C17" s="13" t="inlineStr">
        <is>
          <t>L·1 S·4</t>
        </is>
      </c>
      <c r="D17" s="14" t="inlineStr"/>
      <c r="E17" s="30" t="n">
        <v>13900</v>
      </c>
      <c r="F17" s="21" t="n">
        <v>8340</v>
      </c>
      <c r="G17" s="30" t="n">
        <v>4568</v>
      </c>
      <c r="H17" s="27">
        <f>F17-G17</f>
        <v/>
      </c>
    </row>
    <row r="18">
      <c r="A18" s="14" t="inlineStr">
        <is>
          <t>Блузон молочний</t>
        </is>
      </c>
      <c r="B18" s="29" t="n">
        <v>3</v>
      </c>
      <c r="C18" s="13" t="inlineStr">
        <is>
          <t>L·1 M·1 S·1</t>
        </is>
      </c>
      <c r="D18" s="14" t="inlineStr"/>
      <c r="E18" s="30" t="n">
        <v>12900</v>
      </c>
      <c r="F18" s="21" t="n">
        <v>7740</v>
      </c>
      <c r="G18" s="30" t="n">
        <v>3816</v>
      </c>
      <c r="H18" s="27">
        <f>F18-G18</f>
        <v/>
      </c>
    </row>
    <row r="19">
      <c r="A19" s="14" t="inlineStr">
        <is>
          <t>Кафтан оксамитовий</t>
        </is>
      </c>
      <c r="B19" s="29" t="n">
        <v>1</v>
      </c>
      <c r="C19" s="13" t="inlineStr">
        <is>
          <t>L·1</t>
        </is>
      </c>
      <c r="D19" s="14" t="inlineStr"/>
      <c r="E19" s="30" t="n">
        <v>26500</v>
      </c>
      <c r="F19" s="21" t="n">
        <v>15900</v>
      </c>
      <c r="G19" s="30" t="n">
        <v>7825</v>
      </c>
      <c r="H19" s="27">
        <f>F19-G19</f>
        <v/>
      </c>
    </row>
    <row r="20">
      <c r="A20" s="14" t="inlineStr">
        <is>
          <t>Блуза шовкова холтер чорна</t>
        </is>
      </c>
      <c r="B20" s="29" t="n">
        <v>3</v>
      </c>
      <c r="C20" s="13" t="inlineStr">
        <is>
          <t>M·3</t>
        </is>
      </c>
      <c r="D20" s="14" t="inlineStr"/>
      <c r="E20" s="30" t="n">
        <v>9900</v>
      </c>
      <c r="F20" s="21" t="n">
        <v>5940</v>
      </c>
      <c r="G20" s="30" t="n">
        <v>3447</v>
      </c>
      <c r="H20" s="27">
        <f>F20-G20</f>
        <v/>
      </c>
    </row>
    <row r="21">
      <c r="A21" s="14" t="inlineStr">
        <is>
          <t>Блуза шовкова холтер</t>
        </is>
      </c>
      <c r="B21" s="29" t="n">
        <v>3</v>
      </c>
      <c r="C21" s="13" t="inlineStr">
        <is>
          <t>L·1 S·2</t>
        </is>
      </c>
      <c r="D21" s="14" t="inlineStr"/>
      <c r="E21" s="30" t="n">
        <v>9900</v>
      </c>
      <c r="F21" s="21" t="n">
        <v>5940</v>
      </c>
      <c r="G21" s="30" t="n">
        <v>3447</v>
      </c>
      <c r="H21" s="27">
        <f>F21-G21</f>
        <v/>
      </c>
    </row>
    <row r="22">
      <c r="A22" s="14" t="inlineStr">
        <is>
          <t>Силуетна чорна сукня максі</t>
        </is>
      </c>
      <c r="B22" s="29" t="n">
        <v>1</v>
      </c>
      <c r="C22" s="13" t="inlineStr">
        <is>
          <t>S·1</t>
        </is>
      </c>
      <c r="D22" s="14" t="inlineStr"/>
      <c r="E22" s="30" t="n">
        <v>13900</v>
      </c>
      <c r="F22" s="21" t="n">
        <v>8340</v>
      </c>
      <c r="G22" s="30" t="n">
        <v>4374</v>
      </c>
      <c r="H22" s="27">
        <f>F22-G22</f>
        <v/>
      </c>
    </row>
    <row r="23">
      <c r="A23" s="14" t="inlineStr">
        <is>
          <t>Силуетна біла сукня максі</t>
        </is>
      </c>
      <c r="B23" s="29" t="n">
        <v>1</v>
      </c>
      <c r="C23" s="13" t="inlineStr">
        <is>
          <t>M·1</t>
        </is>
      </c>
      <c r="D23" s="14" t="inlineStr"/>
      <c r="E23" s="30" t="n">
        <v>13900</v>
      </c>
      <c r="F23" s="21" t="n">
        <v>8340</v>
      </c>
      <c r="G23" s="30" t="n">
        <v>4568</v>
      </c>
      <c r="H23" s="27">
        <f>F23-G23</f>
        <v/>
      </c>
    </row>
    <row r="25" ht="39" customHeight="1">
      <c r="A25" s="26" t="inlineStr">
        <is>
          <t>Комісія шоуруму 123 760 грн — це 40% роздрібної ціни. Взамін канал не платить ані за рекламу  ані за доставку  і майже не має повернень: товар міряють на місці. Саме тому одиниця через шоурум лишає бренду більше  ніж через прямий продаж  попри вдвічі нижчу ціну.</t>
        </is>
      </c>
      <c r="B25" s="19" t="n"/>
      <c r="C25" s="19" t="n"/>
      <c r="D25" s="19" t="n"/>
      <c r="E25" s="19" t="n"/>
      <c r="F25" s="19" t="n"/>
      <c r="G25" s="19" t="n"/>
      <c r="H25" s="20" t="n"/>
    </row>
  </sheetData>
  <mergeCells count="5">
    <mergeCell ref="A4:H4"/>
    <mergeCell ref="A25:H25"/>
    <mergeCell ref="A2:H2"/>
    <mergeCell ref="A14:H14"/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</cols>
  <sheetData>
    <row r="1" ht="24" customHeight="1">
      <c r="A1" s="1" t="inlineStr">
        <is>
          <t>B2B фінмодель — оптова ціна від собівартості</t>
        </is>
      </c>
    </row>
    <row r="2" ht="42" customHeight="1">
      <c r="A2" s="2" t="inlineStr">
        <is>
          <t>Формула: собівартість ділимо на маржу, потім додаємо податок і накладні. Жовті клітинки нижче — ваші три частки, міняйте їх і вся таблиця перерахується.</t>
        </is>
      </c>
    </row>
    <row r="4">
      <c r="A4" s="3" t="inlineStr">
        <is>
          <t>Частки</t>
        </is>
      </c>
    </row>
    <row r="5">
      <c r="A5" s="14" t="inlineStr">
        <is>
          <t>Маржа бренду</t>
        </is>
      </c>
      <c r="B5" s="45" t="n">
        <v>0.6</v>
      </c>
      <c r="C5" s="13" t="inlineStr">
        <is>
          <t>Собівартість ділиться на цю частку</t>
        </is>
      </c>
    </row>
    <row r="6">
      <c r="A6" s="14" t="inlineStr">
        <is>
          <t>Податок</t>
        </is>
      </c>
      <c r="B6" s="45" t="n">
        <v>0.2</v>
      </c>
      <c r="C6" s="13" t="inlineStr">
        <is>
          <t>Додається зверху</t>
        </is>
      </c>
    </row>
    <row r="7">
      <c r="A7" s="14" t="inlineStr">
        <is>
          <t>Накладні витрати</t>
        </is>
      </c>
      <c r="B7" s="45" t="n">
        <v>0.2</v>
      </c>
      <c r="C7" s="13" t="inlineStr">
        <is>
          <t>Додаються зверху</t>
        </is>
      </c>
    </row>
    <row r="8">
      <c r="A8" s="23" t="inlineStr">
        <is>
          <t>Множник до собівартості</t>
        </is>
      </c>
      <c r="B8" s="46">
        <f>1/$B$5*(1+$B$6)*(1+$B$7)</f>
        <v/>
      </c>
      <c r="C8" s="13" t="inlineStr">
        <is>
          <t>У стільки разів ціна B2B більша за собівартість</t>
        </is>
      </c>
    </row>
    <row r="10">
      <c r="A10" s="3" t="inlineStr">
        <is>
          <t>Розрахунок по кожній позиції</t>
        </is>
      </c>
    </row>
    <row r="11" ht="32" customHeight="1">
      <c r="A11" s="4" t="inlineStr">
        <is>
          <t>Позиція</t>
        </is>
      </c>
      <c r="B11" s="4" t="inlineStr">
        <is>
          <t>Собівартість</t>
        </is>
      </c>
      <c r="C11" s="4" t="inlineStr">
        <is>
          <t>Ділимо на маржу</t>
        </is>
      </c>
      <c r="D11" s="4" t="inlineStr">
        <is>
          <t>Плюс податок</t>
        </is>
      </c>
      <c r="E11" s="4" t="inlineStr">
        <is>
          <t>Плюс накладні</t>
        </is>
      </c>
      <c r="F11" s="4" t="inlineStr">
        <is>
          <t>ЦІНА B2B</t>
        </is>
      </c>
      <c r="G11" s="4" t="inlineStr">
        <is>
          <t>Зараз шоурум (60% роздрібу)</t>
        </is>
      </c>
      <c r="H11" s="4" t="inlineStr">
        <is>
          <t>Роздріб</t>
        </is>
      </c>
    </row>
    <row r="12">
      <c r="A12" s="14" t="inlineStr">
        <is>
          <t>Кафтан оксамитовий</t>
        </is>
      </c>
      <c r="B12" s="21" t="n">
        <v>7824.87</v>
      </c>
      <c r="C12" s="30">
        <f>B12/$B$5</f>
        <v/>
      </c>
      <c r="D12" s="30">
        <f>C12*(1+$B$6)</f>
        <v/>
      </c>
      <c r="E12" s="30">
        <f>D12*(1+$B$7)</f>
        <v/>
      </c>
      <c r="F12" s="6">
        <f>E12</f>
        <v/>
      </c>
      <c r="G12" s="21">
        <f>H12*(1-0.4)</f>
        <v/>
      </c>
      <c r="H12" s="30" t="n">
        <v>26500</v>
      </c>
    </row>
    <row r="13">
      <c r="A13" s="14" t="inlineStr">
        <is>
          <t>Жакет оксамитовий</t>
        </is>
      </c>
      <c r="B13" s="21" t="n">
        <v>5330.95</v>
      </c>
      <c r="C13" s="30">
        <f>B13/$B$5</f>
        <v/>
      </c>
      <c r="D13" s="30">
        <f>C13*(1+$B$6)</f>
        <v/>
      </c>
      <c r="E13" s="30">
        <f>D13*(1+$B$7)</f>
        <v/>
      </c>
      <c r="F13" s="6">
        <f>E13</f>
        <v/>
      </c>
      <c r="G13" s="21">
        <f>H13*(1-0.4)</f>
        <v/>
      </c>
      <c r="H13" s="30" t="n">
        <v>19500</v>
      </c>
    </row>
    <row r="14">
      <c r="A14" s="14" t="inlineStr">
        <is>
          <t>Сукня оксамитова максі</t>
        </is>
      </c>
      <c r="B14" s="21" t="n">
        <v>4519.7</v>
      </c>
      <c r="C14" s="30">
        <f>B14/$B$5</f>
        <v/>
      </c>
      <c r="D14" s="30">
        <f>C14*(1+$B$6)</f>
        <v/>
      </c>
      <c r="E14" s="30">
        <f>D14*(1+$B$7)</f>
        <v/>
      </c>
      <c r="F14" s="6">
        <f>E14</f>
        <v/>
      </c>
      <c r="G14" s="21">
        <f>H14*(1-0.4)</f>
        <v/>
      </c>
      <c r="H14" s="30" t="n">
        <v>15500</v>
      </c>
    </row>
    <row r="15">
      <c r="A15" s="14" t="inlineStr">
        <is>
          <t>Штани оксамитові</t>
        </is>
      </c>
      <c r="B15" s="21" t="n">
        <v>2985.07</v>
      </c>
      <c r="C15" s="30">
        <f>B15/$B$5</f>
        <v/>
      </c>
      <c r="D15" s="30">
        <f>C15*(1+$B$6)</f>
        <v/>
      </c>
      <c r="E15" s="30">
        <f>D15*(1+$B$7)</f>
        <v/>
      </c>
      <c r="F15" s="6">
        <f>E15</f>
        <v/>
      </c>
      <c r="G15" s="21">
        <f>H15*(1-0.4)</f>
        <v/>
      </c>
      <c r="H15" s="30" t="n">
        <v>14500</v>
      </c>
    </row>
    <row r="16">
      <c r="A16" s="14" t="inlineStr">
        <is>
          <t>Штани сатинові</t>
        </is>
      </c>
      <c r="B16" s="21" t="n">
        <v>3520.8</v>
      </c>
      <c r="C16" s="30">
        <f>B16/$B$5</f>
        <v/>
      </c>
      <c r="D16" s="30">
        <f>C16*(1+$B$6)</f>
        <v/>
      </c>
      <c r="E16" s="30">
        <f>D16*(1+$B$7)</f>
        <v/>
      </c>
      <c r="F16" s="6">
        <f>E16</f>
        <v/>
      </c>
      <c r="G16" s="21">
        <f>H16*(1-0.4)</f>
        <v/>
      </c>
      <c r="H16" s="30" t="n">
        <v>12500</v>
      </c>
    </row>
    <row r="17">
      <c r="A17" s="14" t="inlineStr">
        <is>
          <t>Спідниця оксамитова міді</t>
        </is>
      </c>
      <c r="B17" s="21" t="n">
        <v>2574.8</v>
      </c>
      <c r="C17" s="30">
        <f>B17/$B$5</f>
        <v/>
      </c>
      <c r="D17" s="30">
        <f>C17*(1+$B$6)</f>
        <v/>
      </c>
      <c r="E17" s="30">
        <f>D17*(1+$B$7)</f>
        <v/>
      </c>
      <c r="F17" s="6">
        <f>E17</f>
        <v/>
      </c>
      <c r="G17" s="21">
        <f>H17*(1-0.4)</f>
        <v/>
      </c>
      <c r="H17" s="30" t="n">
        <v>10500</v>
      </c>
    </row>
    <row r="18">
      <c r="A18" s="14" t="inlineStr">
        <is>
          <t>Блуза шовкова лавальєр</t>
        </is>
      </c>
      <c r="B18" s="21" t="n">
        <v>2260.11</v>
      </c>
      <c r="C18" s="30">
        <f>B18/$B$5</f>
        <v/>
      </c>
      <c r="D18" s="30">
        <f>C18*(1+$B$6)</f>
        <v/>
      </c>
      <c r="E18" s="30">
        <f>D18*(1+$B$7)</f>
        <v/>
      </c>
      <c r="F18" s="6">
        <f>E18</f>
        <v/>
      </c>
      <c r="G18" s="21">
        <f>H18*(1-0.4)</f>
        <v/>
      </c>
      <c r="H18" s="30" t="n">
        <v>9000</v>
      </c>
    </row>
    <row r="19">
      <c r="A19" s="14" t="inlineStr">
        <is>
          <t>Блуза шовкова холтер</t>
        </is>
      </c>
      <c r="B19" s="21" t="n">
        <v>2601.72</v>
      </c>
      <c r="C19" s="30">
        <f>B19/$B$5</f>
        <v/>
      </c>
      <c r="D19" s="30">
        <f>C19*(1+$B$6)</f>
        <v/>
      </c>
      <c r="E19" s="30">
        <f>D19*(1+$B$7)</f>
        <v/>
      </c>
      <c r="F19" s="6">
        <f>E19</f>
        <v/>
      </c>
      <c r="G19" s="21">
        <f>H19*(1-0.4)</f>
        <v/>
      </c>
      <c r="H19" s="30" t="n">
        <v>7500</v>
      </c>
    </row>
    <row r="20">
      <c r="A20" s="23" t="inlineStr">
        <is>
          <t>Середнє</t>
        </is>
      </c>
      <c r="B20" s="24">
        <f>AVERAGE(B12:B19)</f>
        <v/>
      </c>
      <c r="F20" s="24">
        <f>AVERAGE(F12:F19)</f>
        <v/>
      </c>
      <c r="G20" s="24">
        <f>AVERAGE(G12:G19)</f>
        <v/>
      </c>
      <c r="H20" s="24">
        <f>AVERAGE(H12:H19)</f>
        <v/>
      </c>
    </row>
    <row r="22" ht="39" customHeight="1">
      <c r="A22" s="28" t="inlineStr">
        <is>
          <t>Якщо «ЦІНА B2B» виходить вищою за «Роздріб» — оптом дорожче за роздріб продати неможливо: там або собівартість завелика, або роздрібну ціну треба піднімати. Якщо ціна B2B вища за поточні 60% роздрібу — партнер отримує товар дешевше, ніж закладено у вашу формулу, і різницю доплачує бренд зі своєї маржі.</t>
        </is>
      </c>
      <c r="B22" s="19" t="n"/>
      <c r="C22" s="19" t="n"/>
      <c r="D22" s="19" t="n"/>
      <c r="E22" s="19" t="n"/>
      <c r="F22" s="19" t="n"/>
      <c r="G22" s="19" t="n"/>
      <c r="H22" s="20" t="n"/>
    </row>
    <row r="24" ht="39" customHeight="1">
      <c r="A24" s="33" t="inlineStr">
        <is>
          <t>Обережно з підняттям оптової ціни: це забирає в партнера частину його комісії. Шоурум зараз дає бренду більше з одиниці, ніж прямий продаж, бо не платить за залучення. Перш ніж торгуватись — порахуйте, чи не дорожче обійдеться втрата каналу.</t>
        </is>
      </c>
      <c r="B24" s="19" t="n"/>
      <c r="C24" s="19" t="n"/>
      <c r="D24" s="19" t="n"/>
      <c r="E24" s="19" t="n"/>
      <c r="F24" s="19" t="n"/>
      <c r="G24" s="19" t="n"/>
      <c r="H24" s="20" t="n"/>
    </row>
  </sheetData>
  <mergeCells count="6">
    <mergeCell ref="A4:H4"/>
    <mergeCell ref="A24:H24"/>
    <mergeCell ref="A2:H2"/>
    <mergeCell ref="A10:H10"/>
    <mergeCell ref="A1:H1"/>
    <mergeCell ref="A22:H2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5" customWidth="1" min="5" max="5"/>
    <col width="15" customWidth="1" min="6" max="6"/>
    <col width="44" customWidth="1" min="7" max="7"/>
  </cols>
  <sheetData>
    <row r="1" ht="24" customHeight="1">
      <c r="A1" s="1" t="inlineStr">
        <is>
          <t>Повернення й відмови — де саме зриваються гроші</t>
        </is>
      </c>
    </row>
    <row r="2" ht="42" customHeight="1">
      <c r="A2" s="2" t="inlineStr">
        <is>
          <t>Зрив — це замовлення зі статусом «Повернено» або «Відмова»: товар не викупили або відмовились до відправки. Розрізи показують, де діра найбільша. Відсоток рахується від кількості замовлень у своєму рядку.</t>
        </is>
      </c>
    </row>
    <row r="4">
      <c r="A4" s="3" t="inlineStr">
        <is>
          <t>По місяцях</t>
        </is>
      </c>
    </row>
    <row r="5" ht="32" customHeight="1">
      <c r="A5" s="4" t="inlineStr">
        <is>
          <t>По місяцях</t>
        </is>
      </c>
      <c r="B5" s="4" t="inlineStr">
        <is>
          <t>Замовлень</t>
        </is>
      </c>
      <c r="C5" s="4" t="inlineStr">
        <is>
          <t>Зірвалось</t>
        </is>
      </c>
      <c r="D5" s="4" t="inlineStr">
        <is>
          <t>Частка зривів</t>
        </is>
      </c>
      <c r="E5" s="4" t="inlineStr">
        <is>
          <t>Сума замовлень, грн</t>
        </is>
      </c>
      <c r="F5" s="4" t="inlineStr">
        <is>
          <t>Втрачено, грн</t>
        </is>
      </c>
      <c r="G5" s="4" t="inlineStr">
        <is>
          <t>Що це означає</t>
        </is>
      </c>
    </row>
    <row r="6">
      <c r="A6" s="14" t="inlineStr">
        <is>
          <t>Червень</t>
        </is>
      </c>
      <c r="B6" s="29" t="n">
        <v>11</v>
      </c>
      <c r="C6" s="29" t="n">
        <v>8</v>
      </c>
      <c r="D6" s="47">
        <f>IFERROR(C6/B6,0)</f>
        <v/>
      </c>
      <c r="E6" s="21" t="n">
        <v>272825</v>
      </c>
      <c r="F6" s="21" t="n">
        <v>205625</v>
      </c>
      <c r="G6" s="13" t="inlineStr"/>
    </row>
    <row r="7">
      <c r="A7" s="14" t="inlineStr">
        <is>
          <t>Липень</t>
        </is>
      </c>
      <c r="B7" s="29" t="n">
        <v>13</v>
      </c>
      <c r="C7" s="29" t="n">
        <v>5</v>
      </c>
      <c r="D7" s="48">
        <f>IFERROR(C7/B7,0)</f>
        <v/>
      </c>
      <c r="E7" s="21" t="n">
        <v>334010</v>
      </c>
      <c r="F7" s="21" t="n">
        <v>129750</v>
      </c>
      <c r="G7" s="13" t="inlineStr"/>
    </row>
    <row r="8">
      <c r="A8" s="14" t="inlineStr">
        <is>
          <t>Травень</t>
        </is>
      </c>
      <c r="B8" s="29" t="n">
        <v>10</v>
      </c>
      <c r="C8" s="29" t="n">
        <v>4</v>
      </c>
      <c r="D8" s="48">
        <f>IFERROR(C8/B8,0)</f>
        <v/>
      </c>
      <c r="E8" s="21" t="n">
        <v>142525</v>
      </c>
      <c r="F8" s="21" t="n">
        <v>36500</v>
      </c>
      <c r="G8" s="13" t="inlineStr"/>
    </row>
    <row r="9">
      <c r="A9" s="14" t="inlineStr">
        <is>
          <t>Квітень</t>
        </is>
      </c>
      <c r="B9" s="29" t="n">
        <v>6</v>
      </c>
      <c r="C9" s="29" t="n">
        <v>0</v>
      </c>
      <c r="D9" s="48">
        <f>IFERROR(C9/B9,0)</f>
        <v/>
      </c>
      <c r="E9" s="21" t="n">
        <v>105050</v>
      </c>
      <c r="F9" s="21" t="n">
        <v>0</v>
      </c>
      <c r="G9" s="13" t="inlineStr"/>
    </row>
    <row r="10">
      <c r="A10" s="14" t="inlineStr">
        <is>
          <t>Березень</t>
        </is>
      </c>
      <c r="B10" s="29" t="n">
        <v>1</v>
      </c>
      <c r="C10" s="29" t="n">
        <v>0</v>
      </c>
      <c r="D10" s="48">
        <f>IFERROR(C10/B10,0)</f>
        <v/>
      </c>
      <c r="E10" s="21" t="n">
        <v>18000</v>
      </c>
      <c r="F10" s="21" t="n">
        <v>0</v>
      </c>
      <c r="G10" s="13" t="inlineStr"/>
    </row>
    <row r="11">
      <c r="A11" s="23" t="inlineStr">
        <is>
          <t>Разом</t>
        </is>
      </c>
      <c r="B11" s="12">
        <f>SUM(B6:B10)</f>
        <v/>
      </c>
      <c r="C11" s="12">
        <f>SUM(C6:C10)</f>
        <v/>
      </c>
      <c r="D11" s="49">
        <f>IFERROR(C11/B11,0)</f>
        <v/>
      </c>
      <c r="E11" s="24">
        <f>SUM(E6:E10)</f>
        <v/>
      </c>
      <c r="F11" s="24">
        <f>SUM(F6:F10)</f>
        <v/>
      </c>
      <c r="G11" s="13" t="inlineStr">
        <is>
          <t>Якщо один місяць вибивається — шукати, що тоді змінилось: асортимент, реклама, менеджер.</t>
        </is>
      </c>
    </row>
    <row r="13">
      <c r="A13" s="3" t="inlineStr">
        <is>
          <t>По джерелу замовлення</t>
        </is>
      </c>
    </row>
    <row r="14" ht="32" customHeight="1">
      <c r="A14" s="4" t="inlineStr">
        <is>
          <t>По джерелу замовлення</t>
        </is>
      </c>
      <c r="B14" s="4" t="inlineStr">
        <is>
          <t>Замовлень</t>
        </is>
      </c>
      <c r="C14" s="4" t="inlineStr">
        <is>
          <t>Зірвалось</t>
        </is>
      </c>
      <c r="D14" s="4" t="inlineStr">
        <is>
          <t>Частка зривів</t>
        </is>
      </c>
      <c r="E14" s="4" t="inlineStr">
        <is>
          <t>Сума замовлень, грн</t>
        </is>
      </c>
      <c r="F14" s="4" t="inlineStr">
        <is>
          <t>Втрачено, грн</t>
        </is>
      </c>
      <c r="G14" s="4" t="inlineStr">
        <is>
          <t>Що це означає</t>
        </is>
      </c>
    </row>
    <row r="15">
      <c r="A15" s="14" t="inlineStr">
        <is>
          <t>Instagram</t>
        </is>
      </c>
      <c r="B15" s="29" t="n">
        <v>22</v>
      </c>
      <c r="C15" s="29" t="n">
        <v>11</v>
      </c>
      <c r="D15" s="47">
        <f>IFERROR(C15/B15,0)</f>
        <v/>
      </c>
      <c r="E15" s="21" t="n">
        <v>532535</v>
      </c>
      <c r="F15" s="21" t="n">
        <v>287875</v>
      </c>
      <c r="G15" s="13" t="inlineStr"/>
    </row>
    <row r="16">
      <c r="A16" s="14" t="inlineStr">
        <is>
          <t>Site</t>
        </is>
      </c>
      <c r="B16" s="29" t="n">
        <v>10</v>
      </c>
      <c r="C16" s="29" t="n">
        <v>6</v>
      </c>
      <c r="D16" s="47">
        <f>IFERROR(C16/B16,0)</f>
        <v/>
      </c>
      <c r="E16" s="21" t="n">
        <v>176345</v>
      </c>
      <c r="F16" s="21" t="n">
        <v>84000</v>
      </c>
      <c r="G16" s="13" t="inlineStr"/>
    </row>
    <row r="17">
      <c r="A17" s="14" t="inlineStr">
        <is>
          <t>не вказано</t>
        </is>
      </c>
      <c r="B17" s="29" t="n">
        <v>9</v>
      </c>
      <c r="C17" s="29" t="n">
        <v>0</v>
      </c>
      <c r="D17" s="48">
        <f>IFERROR(C17/B17,0)</f>
        <v/>
      </c>
      <c r="E17" s="21" t="n">
        <v>163530</v>
      </c>
      <c r="F17" s="21" t="n">
        <v>0</v>
      </c>
      <c r="G17" s="13" t="inlineStr"/>
    </row>
    <row r="18">
      <c r="A18" s="23" t="inlineStr">
        <is>
          <t>Разом</t>
        </is>
      </c>
      <c r="B18" s="12">
        <f>SUM(B15:B17)</f>
        <v/>
      </c>
      <c r="C18" s="12">
        <f>SUM(C15:C17)</f>
        <v/>
      </c>
      <c r="D18" s="49">
        <f>IFERROR(C18/B18,0)</f>
        <v/>
      </c>
      <c r="E18" s="24">
        <f>SUM(E15:E17)</f>
        <v/>
      </c>
      <c r="F18" s="24">
        <f>SUM(F15:F17)</f>
        <v/>
      </c>
      <c r="G18" s="13" t="inlineStr">
        <is>
          <t>Джерело «не вказано» — це прямі продажі: свої, шоурум, знайомі. У CRM воно не проставлене.</t>
        </is>
      </c>
    </row>
    <row r="20">
      <c r="A20" s="3" t="inlineStr">
        <is>
          <t>По способу отримання</t>
        </is>
      </c>
    </row>
    <row r="21" ht="32" customHeight="1">
      <c r="A21" s="4" t="inlineStr">
        <is>
          <t>По способу отримання</t>
        </is>
      </c>
      <c r="B21" s="4" t="inlineStr">
        <is>
          <t>Замовлень</t>
        </is>
      </c>
      <c r="C21" s="4" t="inlineStr">
        <is>
          <t>Зірвалось</t>
        </is>
      </c>
      <c r="D21" s="4" t="inlineStr">
        <is>
          <t>Частка зривів</t>
        </is>
      </c>
      <c r="E21" s="4" t="inlineStr">
        <is>
          <t>Сума замовлень, грн</t>
        </is>
      </c>
      <c r="F21" s="4" t="inlineStr">
        <is>
          <t>Втрачено, грн</t>
        </is>
      </c>
      <c r="G21" s="4" t="inlineStr">
        <is>
          <t>Що це означає</t>
        </is>
      </c>
    </row>
    <row r="22">
      <c r="A22" s="14" t="inlineStr">
        <is>
          <t>Доставка Новою поштою</t>
        </is>
      </c>
      <c r="B22" s="29" t="n">
        <v>26</v>
      </c>
      <c r="C22" s="29" t="n">
        <v>15</v>
      </c>
      <c r="D22" s="47">
        <f>IFERROR(C22/B22,0)</f>
        <v/>
      </c>
      <c r="E22" s="21" t="n">
        <v>620545</v>
      </c>
      <c r="F22" s="21" t="n">
        <v>351875</v>
      </c>
      <c r="G22" s="13" t="inlineStr"/>
    </row>
    <row r="23">
      <c r="A23" s="14" t="inlineStr">
        <is>
          <t>Самовивіз і шоурум</t>
        </is>
      </c>
      <c r="B23" s="29" t="n">
        <v>15</v>
      </c>
      <c r="C23" s="29" t="n">
        <v>2</v>
      </c>
      <c r="D23" s="48">
        <f>IFERROR(C23/B23,0)</f>
        <v/>
      </c>
      <c r="E23" s="21" t="n">
        <v>251865</v>
      </c>
      <c r="F23" s="21" t="n">
        <v>20000</v>
      </c>
      <c r="G23" s="13" t="inlineStr"/>
    </row>
    <row r="24">
      <c r="A24" s="23" t="inlineStr">
        <is>
          <t>Разом</t>
        </is>
      </c>
      <c r="B24" s="12">
        <f>SUM(B22:B23)</f>
        <v/>
      </c>
      <c r="C24" s="12">
        <f>SUM(C22:C23)</f>
        <v/>
      </c>
      <c r="D24" s="49">
        <f>IFERROR(C24/B24,0)</f>
        <v/>
      </c>
      <c r="E24" s="24">
        <f>SUM(E22:E23)</f>
        <v/>
      </c>
      <c r="F24" s="24">
        <f>SUM(F22:F23)</f>
        <v/>
      </c>
      <c r="G24" s="13" t="inlineStr">
        <is>
          <t>Порожній ТТН у вигрузці означає самовивіз або шоурум. Там людина приміряла — і майже не відмовляється.</t>
        </is>
      </c>
    </row>
    <row r="26">
      <c r="A26" s="3" t="inlineStr">
        <is>
          <t>По менеджеру</t>
        </is>
      </c>
    </row>
    <row r="27" ht="32" customHeight="1">
      <c r="A27" s="4" t="inlineStr">
        <is>
          <t>По менеджеру</t>
        </is>
      </c>
      <c r="B27" s="4" t="inlineStr">
        <is>
          <t>Замовлень</t>
        </is>
      </c>
      <c r="C27" s="4" t="inlineStr">
        <is>
          <t>Зірвалось</t>
        </is>
      </c>
      <c r="D27" s="4" t="inlineStr">
        <is>
          <t>Частка зривів</t>
        </is>
      </c>
      <c r="E27" s="4" t="inlineStr">
        <is>
          <t>Сума замовлень, грн</t>
        </is>
      </c>
      <c r="F27" s="4" t="inlineStr">
        <is>
          <t>Втрачено, грн</t>
        </is>
      </c>
      <c r="G27" s="4" t="inlineStr">
        <is>
          <t>Що це означає</t>
        </is>
      </c>
    </row>
    <row r="28">
      <c r="A28" s="14" t="inlineStr">
        <is>
          <t>Христина</t>
        </is>
      </c>
      <c r="B28" s="29" t="n">
        <v>26</v>
      </c>
      <c r="C28" s="29" t="n">
        <v>10</v>
      </c>
      <c r="D28" s="48">
        <f>IFERROR(C28/B28,0)</f>
        <v/>
      </c>
      <c r="E28" s="21" t="n">
        <v>484950</v>
      </c>
      <c r="F28" s="21" t="n">
        <v>188675</v>
      </c>
      <c r="G28" s="13" t="inlineStr"/>
    </row>
    <row r="29">
      <c r="A29" s="14" t="inlineStr">
        <is>
          <t>Горшеніна Крістіна</t>
        </is>
      </c>
      <c r="B29" s="29" t="n">
        <v>15</v>
      </c>
      <c r="C29" s="29" t="n">
        <v>7</v>
      </c>
      <c r="D29" s="48">
        <f>IFERROR(C29/B29,0)</f>
        <v/>
      </c>
      <c r="E29" s="21" t="n">
        <v>387460</v>
      </c>
      <c r="F29" s="21" t="n">
        <v>183200</v>
      </c>
      <c r="G29" s="13" t="inlineStr"/>
    </row>
    <row r="30">
      <c r="A30" s="23" t="inlineStr">
        <is>
          <t>Разом</t>
        </is>
      </c>
      <c r="B30" s="12">
        <f>SUM(B28:B29)</f>
        <v/>
      </c>
      <c r="C30" s="12">
        <f>SUM(C28:C29)</f>
        <v/>
      </c>
      <c r="D30" s="49">
        <f>IFERROR(C30/B30,0)</f>
        <v/>
      </c>
      <c r="E30" s="24">
        <f>SUM(E28:E29)</f>
        <v/>
      </c>
      <c r="F30" s="24">
        <f>SUM(F28:F29)</f>
        <v/>
      </c>
      <c r="G30" s="13" t="inlineStr">
        <is>
          <t>Різниця між менеджерами — це або клієнти різної якості, або різна робота з запереченнями.</t>
        </is>
      </c>
    </row>
    <row r="32">
      <c r="A32" s="3" t="inlineStr">
        <is>
          <t>По моделях — в одиницях товару</t>
        </is>
      </c>
    </row>
    <row r="33" ht="32" customHeight="1">
      <c r="A33" s="4" t="inlineStr">
        <is>
          <t>По моделях</t>
        </is>
      </c>
      <c r="B33" s="4" t="inlineStr">
        <is>
          <t>Одиниць</t>
        </is>
      </c>
      <c r="C33" s="4" t="inlineStr">
        <is>
          <t>Зірвалось</t>
        </is>
      </c>
      <c r="D33" s="4" t="inlineStr">
        <is>
          <t>Частка зривів</t>
        </is>
      </c>
      <c r="E33" s="4" t="inlineStr">
        <is>
          <t>Виручка, грн</t>
        </is>
      </c>
      <c r="F33" s="4" t="inlineStr">
        <is>
          <t>Втрачено, грн</t>
        </is>
      </c>
      <c r="G33" s="4" t="inlineStr">
        <is>
          <t>Що це означає</t>
        </is>
      </c>
    </row>
    <row r="34">
      <c r="A34" s="14" t="inlineStr">
        <is>
          <t>Кафтан оксамитовий</t>
        </is>
      </c>
      <c r="B34" s="29" t="n">
        <v>18</v>
      </c>
      <c r="C34" s="29" t="n">
        <v>9</v>
      </c>
      <c r="D34" s="47">
        <f>IFERROR(C34/B34,0)</f>
        <v/>
      </c>
      <c r="E34" s="21" t="n">
        <v>467458</v>
      </c>
      <c r="F34" s="21" t="n">
        <v>236908</v>
      </c>
      <c r="G34" s="13" t="inlineStr"/>
    </row>
    <row r="35">
      <c r="A35" s="14" t="inlineStr">
        <is>
          <t>Штани оксамитові</t>
        </is>
      </c>
      <c r="B35" s="29" t="n">
        <v>5</v>
      </c>
      <c r="C35" s="29" t="n">
        <v>3</v>
      </c>
      <c r="D35" s="47">
        <f>IFERROR(C35/B35,0)</f>
        <v/>
      </c>
      <c r="E35" s="21" t="n">
        <v>69029</v>
      </c>
      <c r="F35" s="21" t="n">
        <v>42929</v>
      </c>
      <c r="G35" s="13" t="inlineStr"/>
    </row>
    <row r="36">
      <c r="A36" s="14" t="inlineStr">
        <is>
          <t>Блуза шовкова лавальєр</t>
        </is>
      </c>
      <c r="B36" s="29" t="n">
        <v>6</v>
      </c>
      <c r="C36" s="29" t="n">
        <v>3</v>
      </c>
      <c r="D36" s="47">
        <f>IFERROR(C36/B36,0)</f>
        <v/>
      </c>
      <c r="E36" s="21" t="n">
        <v>52296</v>
      </c>
      <c r="F36" s="21" t="n">
        <v>27096</v>
      </c>
      <c r="G36" s="13" t="inlineStr"/>
    </row>
    <row r="37">
      <c r="A37" s="14" t="inlineStr">
        <is>
          <t>Штани сатинові</t>
        </is>
      </c>
      <c r="B37" s="29" t="n">
        <v>7</v>
      </c>
      <c r="C37" s="29" t="n">
        <v>2</v>
      </c>
      <c r="D37" s="48">
        <f>IFERROR(C37/B37,0)</f>
        <v/>
      </c>
      <c r="E37" s="21" t="n">
        <v>77977</v>
      </c>
      <c r="F37" s="21" t="n">
        <v>23018</v>
      </c>
      <c r="G37" s="13" t="inlineStr"/>
    </row>
    <row r="38">
      <c r="A38" s="14" t="inlineStr">
        <is>
          <t>Блуза шовкова холтер</t>
        </is>
      </c>
      <c r="B38" s="29" t="n">
        <v>8</v>
      </c>
      <c r="C38" s="29" t="n">
        <v>3</v>
      </c>
      <c r="D38" s="48">
        <f>IFERROR(C38/B38,0)</f>
        <v/>
      </c>
      <c r="E38" s="21" t="n">
        <v>61219</v>
      </c>
      <c r="F38" s="21" t="n">
        <v>22424</v>
      </c>
      <c r="G38" s="13" t="inlineStr"/>
    </row>
    <row r="39">
      <c r="A39" s="14" t="inlineStr">
        <is>
          <t>Жакет оксамитовий</t>
        </is>
      </c>
      <c r="B39" s="29" t="n">
        <v>4</v>
      </c>
      <c r="C39" s="29" t="n">
        <v>1</v>
      </c>
      <c r="D39" s="48">
        <f>IFERROR(C39/B39,0)</f>
        <v/>
      </c>
      <c r="E39" s="21" t="n">
        <v>74100</v>
      </c>
      <c r="F39" s="21" t="n">
        <v>19500</v>
      </c>
      <c r="G39" s="13" t="inlineStr"/>
    </row>
    <row r="40">
      <c r="A40" s="14" t="inlineStr">
        <is>
          <t>Блузон молочний</t>
        </is>
      </c>
      <c r="B40" s="29" t="n">
        <v>2</v>
      </c>
      <c r="C40" s="29" t="n">
        <v>0</v>
      </c>
      <c r="D40" s="48">
        <f>IFERROR(C40/B40,0)</f>
        <v/>
      </c>
      <c r="E40" s="21" t="n">
        <v>23696</v>
      </c>
      <c r="F40" s="21" t="n">
        <v>0</v>
      </c>
      <c r="G40" s="13" t="inlineStr"/>
    </row>
    <row r="41">
      <c r="A41" s="14" t="inlineStr">
        <is>
          <t>Блуза шовкова холтер чорна</t>
        </is>
      </c>
      <c r="B41" s="29" t="n">
        <v>2</v>
      </c>
      <c r="C41" s="29" t="n">
        <v>0</v>
      </c>
      <c r="D41" s="48">
        <f>IFERROR(C41/B41,0)</f>
        <v/>
      </c>
      <c r="E41" s="21" t="n">
        <v>20636</v>
      </c>
      <c r="F41" s="21" t="n">
        <v>0</v>
      </c>
      <c r="G41" s="13" t="inlineStr"/>
    </row>
    <row r="42">
      <c r="A42" s="14" t="inlineStr">
        <is>
          <t>Сукня оксамитова максі</t>
        </is>
      </c>
      <c r="B42" s="29" t="n">
        <v>1</v>
      </c>
      <c r="C42" s="29" t="n">
        <v>0</v>
      </c>
      <c r="D42" s="48">
        <f>IFERROR(C42/B42,0)</f>
        <v/>
      </c>
      <c r="E42" s="21" t="n">
        <v>15500</v>
      </c>
      <c r="F42" s="21" t="n">
        <v>0</v>
      </c>
      <c r="G42" s="13" t="inlineStr"/>
    </row>
    <row r="43">
      <c r="A43" s="14" t="inlineStr">
        <is>
          <t>Спідниця оксамитова міді</t>
        </is>
      </c>
      <c r="B43" s="29" t="n">
        <v>1</v>
      </c>
      <c r="C43" s="29" t="n">
        <v>0</v>
      </c>
      <c r="D43" s="48">
        <f>IFERROR(C43/B43,0)</f>
        <v/>
      </c>
      <c r="E43" s="21" t="n">
        <v>10500</v>
      </c>
      <c r="F43" s="21" t="n">
        <v>0</v>
      </c>
      <c r="G43" s="13" t="inlineStr"/>
    </row>
    <row r="44">
      <c r="A44" s="23" t="inlineStr">
        <is>
          <t>Разом</t>
        </is>
      </c>
      <c r="B44" s="12">
        <f>SUM(B34:B43)</f>
        <v/>
      </c>
      <c r="C44" s="12">
        <f>SUM(C34:C43)</f>
        <v/>
      </c>
      <c r="D44" s="49">
        <f>IFERROR(C44/B44,0)</f>
        <v/>
      </c>
      <c r="E44" s="24">
        <f>SUM(E34:E43)</f>
        <v/>
      </c>
      <c r="F44" s="24">
        <f>SUM(F34:F43)</f>
        <v/>
      </c>
      <c r="G44" s="13" t="inlineStr">
        <is>
          <t>Найдорожча діра — там, де найбільше грошей, а не там, де найбільший відсоток.</t>
        </is>
      </c>
    </row>
    <row r="46">
      <c r="A46" s="3" t="inlineStr">
        <is>
          <t>По розмірах — в одиницях товару</t>
        </is>
      </c>
    </row>
    <row r="47" ht="32" customHeight="1">
      <c r="A47" s="4" t="inlineStr">
        <is>
          <t>По розмірах</t>
        </is>
      </c>
      <c r="B47" s="4" t="inlineStr">
        <is>
          <t>Одиниць</t>
        </is>
      </c>
      <c r="C47" s="4" t="inlineStr">
        <is>
          <t>Зірвалось</t>
        </is>
      </c>
      <c r="D47" s="4" t="inlineStr">
        <is>
          <t>Частка зривів</t>
        </is>
      </c>
      <c r="E47" s="4" t="inlineStr">
        <is>
          <t>Виручка, грн</t>
        </is>
      </c>
      <c r="F47" s="4" t="inlineStr">
        <is>
          <t>Втрачено, грн</t>
        </is>
      </c>
      <c r="G47" s="4" t="inlineStr">
        <is>
          <t>Що це означає</t>
        </is>
      </c>
    </row>
    <row r="48">
      <c r="A48" s="14" t="inlineStr">
        <is>
          <t>S</t>
        </is>
      </c>
      <c r="B48" s="29" t="n">
        <v>13</v>
      </c>
      <c r="C48" s="29" t="n">
        <v>8</v>
      </c>
      <c r="D48" s="47">
        <f>IFERROR(C48/B48,0)</f>
        <v/>
      </c>
      <c r="E48" s="21" t="n">
        <v>215950</v>
      </c>
      <c r="F48" s="21" t="n">
        <v>147329</v>
      </c>
      <c r="G48" s="13" t="inlineStr"/>
    </row>
    <row r="49">
      <c r="A49" s="14" t="inlineStr">
        <is>
          <t>M</t>
        </is>
      </c>
      <c r="B49" s="29" t="n">
        <v>14</v>
      </c>
      <c r="C49" s="29" t="n">
        <v>5</v>
      </c>
      <c r="D49" s="48">
        <f>IFERROR(C49/B49,0)</f>
        <v/>
      </c>
      <c r="E49" s="21" t="n">
        <v>223905</v>
      </c>
      <c r="F49" s="21" t="n">
        <v>96096</v>
      </c>
      <c r="G49" s="13" t="inlineStr"/>
    </row>
    <row r="50">
      <c r="A50" s="14" t="inlineStr">
        <is>
          <t>L</t>
        </is>
      </c>
      <c r="B50" s="29" t="n">
        <v>10</v>
      </c>
      <c r="C50" s="29" t="n">
        <v>4</v>
      </c>
      <c r="D50" s="48">
        <f>IFERROR(C50/B50,0)</f>
        <v/>
      </c>
      <c r="E50" s="21" t="n">
        <v>201730</v>
      </c>
      <c r="F50" s="21" t="n">
        <v>91950</v>
      </c>
      <c r="G50" s="13" t="inlineStr"/>
    </row>
    <row r="51">
      <c r="A51" s="14" t="inlineStr">
        <is>
          <t>не вказано</t>
        </is>
      </c>
      <c r="B51" s="29" t="n">
        <v>16</v>
      </c>
      <c r="C51" s="29" t="n">
        <v>4</v>
      </c>
      <c r="D51" s="48">
        <f>IFERROR(C51/B51,0)</f>
        <v/>
      </c>
      <c r="E51" s="21" t="n">
        <v>204325</v>
      </c>
      <c r="F51" s="21" t="n">
        <v>36500</v>
      </c>
      <c r="G51" s="13" t="inlineStr"/>
    </row>
    <row r="52">
      <c r="A52" s="14" t="inlineStr">
        <is>
          <t>XL</t>
        </is>
      </c>
      <c r="B52" s="29" t="n">
        <v>1</v>
      </c>
      <c r="C52" s="29" t="n">
        <v>0</v>
      </c>
      <c r="D52" s="48">
        <f>IFERROR(C52/B52,0)</f>
        <v/>
      </c>
      <c r="E52" s="21" t="n">
        <v>26500</v>
      </c>
      <c r="F52" s="21" t="n">
        <v>0</v>
      </c>
      <c r="G52" s="13" t="inlineStr"/>
    </row>
    <row r="53">
      <c r="A53" s="23" t="inlineStr">
        <is>
          <t>Разом</t>
        </is>
      </c>
      <c r="B53" s="12">
        <f>SUM(B48:B52)</f>
        <v/>
      </c>
      <c r="C53" s="12">
        <f>SUM(C48:C52)</f>
        <v/>
      </c>
      <c r="D53" s="49">
        <f>IFERROR(C53/B53,0)</f>
        <v/>
      </c>
      <c r="E53" s="24">
        <f>SUM(E48:E52)</f>
        <v/>
      </c>
      <c r="F53" s="24">
        <f>SUM(F48:F52)</f>
        <v/>
      </c>
      <c r="G53" s="13" t="inlineStr">
        <is>
          <t>Якщо один розмір вибивається — причина в лекалах або в таблиці замірів на сайті. Це найдешевше з усього, що можна полагодити.</t>
        </is>
      </c>
    </row>
    <row r="55" ht="39" customHeight="1">
      <c r="A55" s="18" t="inlineStr">
        <is>
          <t>Разом зірвалось 17 замовлень із 41 на 371 875 грн. Це не «недоотриманий прибуток»  а вже понесені витрати: пошиття  пакування  доставка туди й назад. Товар при цьому повертається на склад і може продатись ще раз — тому зрив зʼїдає логістику й рекламу  а не собівартість.</t>
        </is>
      </c>
      <c r="B55" s="19" t="n"/>
      <c r="C55" s="19" t="n"/>
      <c r="D55" s="19" t="n"/>
      <c r="E55" s="19" t="n"/>
      <c r="F55" s="19" t="n"/>
      <c r="G55" s="20" t="n"/>
    </row>
  </sheetData>
  <mergeCells count="9">
    <mergeCell ref="A32:G32"/>
    <mergeCell ref="A13:G13"/>
    <mergeCell ref="A1:G1"/>
    <mergeCell ref="A55:G55"/>
    <mergeCell ref="A4:G4"/>
    <mergeCell ref="A20:G20"/>
    <mergeCell ref="A26:G26"/>
    <mergeCell ref="A2:G2"/>
    <mergeCell ref="A46:G46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1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5" customWidth="1" min="2" max="2"/>
    <col width="14" customWidth="1" min="3" max="3"/>
    <col width="14" customWidth="1" min="4" max="4"/>
    <col width="11" customWidth="1" min="5" max="5"/>
    <col width="15" customWidth="1" min="6" max="6"/>
    <col width="13" customWidth="1" min="7" max="7"/>
    <col width="15" customWidth="1" min="8" max="8"/>
    <col width="11" customWidth="1" min="9" max="9"/>
    <col width="13" customWidth="1" min="10" max="10"/>
    <col width="14" customWidth="1" min="11" max="11"/>
    <col width="11" customWidth="1" min="12" max="12"/>
    <col width="12" customWidth="1" min="13" max="13"/>
    <col width="16" customWidth="1" min="14" max="14"/>
  </cols>
  <sheetData>
    <row r="1" ht="24" customHeight="1">
      <c r="A1" s="1" t="inlineStr">
        <is>
          <t>SKU Economics — економіка кожної моделі</t>
        </is>
      </c>
    </row>
    <row r="2" ht="42" customHeight="1">
      <c r="A2" s="2" t="inlineStr">
        <is>
          <t>Собівартість береться з аркуша «Собівартість» (колонка «Обрана»). Retail-ціни — реальні, з файлу бренду. Ціна опту — з аркуша «B2B ціни», де вона виводиться розрахунком, а не множником.</t>
        </is>
      </c>
    </row>
    <row r="4" ht="32" customHeight="1">
      <c r="A4" s="4" t="inlineStr">
        <is>
          <t>SKU</t>
        </is>
      </c>
      <c r="B4" s="4" t="inlineStr">
        <is>
          <t>Собівартість, грн</t>
        </is>
      </c>
      <c r="C4" s="4" t="inlineStr">
        <is>
          <t>Retail price, грн</t>
        </is>
      </c>
      <c r="D4" s="4" t="inlineStr">
        <is>
          <t>Gross profit, грн</t>
        </is>
      </c>
      <c r="E4" s="4" t="inlineStr">
        <is>
          <t>Gross margin %</t>
        </is>
      </c>
      <c r="F4" s="4" t="inlineStr">
        <is>
          <t>Showroom price, грн</t>
        </is>
      </c>
      <c r="G4" s="4" t="inlineStr">
        <is>
          <t>Комісія шоуруму, грн</t>
        </is>
      </c>
      <c r="H4" s="4" t="inlineStr">
        <is>
          <t>Маржа showroom, грн</t>
        </is>
      </c>
      <c r="I4" s="4" t="inlineStr">
        <is>
          <t>Маржа showroom %</t>
        </is>
      </c>
      <c r="J4" s="4" t="inlineStr">
        <is>
          <t>B2B price, грн</t>
        </is>
      </c>
      <c r="K4" s="4" t="inlineStr">
        <is>
          <t>Маржа B2B, грн</t>
        </is>
      </c>
      <c r="L4" s="4" t="inlineStr">
        <is>
          <t>Маржа B2B %</t>
        </is>
      </c>
      <c r="M4" s="4" t="inlineStr">
        <is>
          <t>Продано, шт</t>
        </is>
      </c>
      <c r="N4" s="4" t="inlineStr">
        <is>
          <t>Валовий прибуток за період</t>
        </is>
      </c>
    </row>
    <row r="5">
      <c r="A5" s="14" t="inlineStr">
        <is>
          <t>Кафтан оксамитовий</t>
        </is>
      </c>
      <c r="B5" s="50">
        <f>'Собівартість'!E5</f>
        <v/>
      </c>
      <c r="C5" s="44" t="n">
        <v>26500</v>
      </c>
      <c r="D5" s="21">
        <f>C5-B5</f>
        <v/>
      </c>
      <c r="E5" s="22">
        <f>IF(C5=0,0,D5/C5)</f>
        <v/>
      </c>
      <c r="F5" s="21">
        <f>C5</f>
        <v/>
      </c>
      <c r="G5" s="21">
        <f>F5*Параметри!$B$6</f>
        <v/>
      </c>
      <c r="H5" s="21">
        <f>F5-G5-B5</f>
        <v/>
      </c>
      <c r="I5" s="22">
        <f>IF(F5=0,0,H5/F5)</f>
        <v/>
      </c>
      <c r="J5" s="21">
        <f>'B2B ціни'!H5</f>
        <v/>
      </c>
      <c r="K5" s="21">
        <f>J5-B5</f>
        <v/>
      </c>
      <c r="L5" s="22">
        <f>IF(J5=0,0,K5/J5)</f>
        <v/>
      </c>
      <c r="M5" s="21" t="n">
        <v>18</v>
      </c>
      <c r="N5" s="21">
        <f>D5*M5</f>
        <v/>
      </c>
    </row>
    <row r="6">
      <c r="A6" s="14" t="inlineStr">
        <is>
          <t>Штани сатинові</t>
        </is>
      </c>
      <c r="B6" s="50">
        <f>'Собівартість'!E6</f>
        <v/>
      </c>
      <c r="C6" s="44" t="n">
        <v>12500</v>
      </c>
      <c r="D6" s="21">
        <f>C6-B6</f>
        <v/>
      </c>
      <c r="E6" s="22">
        <f>IF(C6=0,0,D6/C6)</f>
        <v/>
      </c>
      <c r="F6" s="21">
        <f>C6</f>
        <v/>
      </c>
      <c r="G6" s="21">
        <f>F6*Параметри!$B$6</f>
        <v/>
      </c>
      <c r="H6" s="21">
        <f>F6-G6-B6</f>
        <v/>
      </c>
      <c r="I6" s="22">
        <f>IF(F6=0,0,H6/F6)</f>
        <v/>
      </c>
      <c r="J6" s="21">
        <f>'B2B ціни'!H6</f>
        <v/>
      </c>
      <c r="K6" s="21">
        <f>J6-B6</f>
        <v/>
      </c>
      <c r="L6" s="22">
        <f>IF(J6=0,0,K6/J6)</f>
        <v/>
      </c>
      <c r="M6" s="21" t="n">
        <v>7</v>
      </c>
      <c r="N6" s="21">
        <f>D6*M6</f>
        <v/>
      </c>
    </row>
    <row r="7">
      <c r="A7" s="14" t="inlineStr">
        <is>
          <t>Жакет оксамитовий</t>
        </is>
      </c>
      <c r="B7" s="50">
        <f>'Собівартість'!E7</f>
        <v/>
      </c>
      <c r="C7" s="44" t="n">
        <v>19500</v>
      </c>
      <c r="D7" s="21">
        <f>C7-B7</f>
        <v/>
      </c>
      <c r="E7" s="22">
        <f>IF(C7=0,0,D7/C7)</f>
        <v/>
      </c>
      <c r="F7" s="21">
        <f>C7</f>
        <v/>
      </c>
      <c r="G7" s="21">
        <f>F7*Параметри!$B$6</f>
        <v/>
      </c>
      <c r="H7" s="21">
        <f>F7-G7-B7</f>
        <v/>
      </c>
      <c r="I7" s="22">
        <f>IF(F7=0,0,H7/F7)</f>
        <v/>
      </c>
      <c r="J7" s="21">
        <f>'B2B ціни'!H7</f>
        <v/>
      </c>
      <c r="K7" s="21">
        <f>J7-B7</f>
        <v/>
      </c>
      <c r="L7" s="22">
        <f>IF(J7=0,0,K7/J7)</f>
        <v/>
      </c>
      <c r="M7" s="21" t="n">
        <v>4</v>
      </c>
      <c r="N7" s="21">
        <f>D7*M7</f>
        <v/>
      </c>
    </row>
    <row r="8">
      <c r="A8" s="14" t="inlineStr">
        <is>
          <t>Штани оксамитові</t>
        </is>
      </c>
      <c r="B8" s="50">
        <f>'Собівартість'!E8</f>
        <v/>
      </c>
      <c r="C8" s="44" t="n">
        <v>14500</v>
      </c>
      <c r="D8" s="21">
        <f>C8-B8</f>
        <v/>
      </c>
      <c r="E8" s="22">
        <f>IF(C8=0,0,D8/C8)</f>
        <v/>
      </c>
      <c r="F8" s="21">
        <f>C8</f>
        <v/>
      </c>
      <c r="G8" s="21">
        <f>F8*Параметри!$B$6</f>
        <v/>
      </c>
      <c r="H8" s="21">
        <f>F8-G8-B8</f>
        <v/>
      </c>
      <c r="I8" s="22">
        <f>IF(F8=0,0,H8/F8)</f>
        <v/>
      </c>
      <c r="J8" s="21">
        <f>'B2B ціни'!H8</f>
        <v/>
      </c>
      <c r="K8" s="21">
        <f>J8-B8</f>
        <v/>
      </c>
      <c r="L8" s="22">
        <f>IF(J8=0,0,K8/J8)</f>
        <v/>
      </c>
      <c r="M8" s="21" t="n">
        <v>5</v>
      </c>
      <c r="N8" s="21">
        <f>D8*M8</f>
        <v/>
      </c>
    </row>
    <row r="9">
      <c r="A9" s="14" t="inlineStr">
        <is>
          <t>Блуза шовкова холтер</t>
        </is>
      </c>
      <c r="B9" s="50">
        <f>'Собівартість'!E9</f>
        <v/>
      </c>
      <c r="C9" s="44" t="n">
        <v>7500</v>
      </c>
      <c r="D9" s="21">
        <f>C9-B9</f>
        <v/>
      </c>
      <c r="E9" s="22">
        <f>IF(C9=0,0,D9/C9)</f>
        <v/>
      </c>
      <c r="F9" s="21">
        <f>C9</f>
        <v/>
      </c>
      <c r="G9" s="21">
        <f>F9*Параметри!$B$6</f>
        <v/>
      </c>
      <c r="H9" s="21">
        <f>F9-G9-B9</f>
        <v/>
      </c>
      <c r="I9" s="22">
        <f>IF(F9=0,0,H9/F9)</f>
        <v/>
      </c>
      <c r="J9" s="21">
        <f>'B2B ціни'!H9</f>
        <v/>
      </c>
      <c r="K9" s="21">
        <f>J9-B9</f>
        <v/>
      </c>
      <c r="L9" s="22">
        <f>IF(J9=0,0,K9/J9)</f>
        <v/>
      </c>
      <c r="M9" s="21" t="n">
        <v>8</v>
      </c>
      <c r="N9" s="21">
        <f>D9*M9</f>
        <v/>
      </c>
    </row>
    <row r="10">
      <c r="A10" s="14" t="inlineStr">
        <is>
          <t>Блуза шовкова лавальєр</t>
        </is>
      </c>
      <c r="B10" s="50">
        <f>'Собівартість'!E10</f>
        <v/>
      </c>
      <c r="C10" s="44" t="n">
        <v>9000</v>
      </c>
      <c r="D10" s="21">
        <f>C10-B10</f>
        <v/>
      </c>
      <c r="E10" s="22">
        <f>IF(C10=0,0,D10/C10)</f>
        <v/>
      </c>
      <c r="F10" s="21">
        <f>C10</f>
        <v/>
      </c>
      <c r="G10" s="21">
        <f>F10*Параметри!$B$6</f>
        <v/>
      </c>
      <c r="H10" s="21">
        <f>F10-G10-B10</f>
        <v/>
      </c>
      <c r="I10" s="22">
        <f>IF(F10=0,0,H10/F10)</f>
        <v/>
      </c>
      <c r="J10" s="21">
        <f>'B2B ціни'!H10</f>
        <v/>
      </c>
      <c r="K10" s="21">
        <f>J10-B10</f>
        <v/>
      </c>
      <c r="L10" s="22">
        <f>IF(J10=0,0,K10/J10)</f>
        <v/>
      </c>
      <c r="M10" s="21" t="n">
        <v>6</v>
      </c>
      <c r="N10" s="21">
        <f>D10*M10</f>
        <v/>
      </c>
    </row>
    <row r="11">
      <c r="A11" s="14" t="inlineStr">
        <is>
          <t>Блузон молочний</t>
        </is>
      </c>
      <c r="B11" s="50">
        <f>'Собівартість'!E11</f>
        <v/>
      </c>
      <c r="C11" s="44" t="n">
        <v>12235</v>
      </c>
      <c r="D11" s="21">
        <f>C11-B11</f>
        <v/>
      </c>
      <c r="E11" s="22">
        <f>IF(C11=0,0,D11/C11)</f>
        <v/>
      </c>
      <c r="F11" s="21">
        <f>C11</f>
        <v/>
      </c>
      <c r="G11" s="21">
        <f>F11*Параметри!$B$6</f>
        <v/>
      </c>
      <c r="H11" s="21">
        <f>F11-G11-B11</f>
        <v/>
      </c>
      <c r="I11" s="22">
        <f>IF(F11=0,0,H11/F11)</f>
        <v/>
      </c>
      <c r="J11" s="21">
        <f>'B2B ціни'!H11</f>
        <v/>
      </c>
      <c r="K11" s="21">
        <f>J11-B11</f>
        <v/>
      </c>
      <c r="L11" s="22">
        <f>IF(J11=0,0,K11/J11)</f>
        <v/>
      </c>
      <c r="M11" s="21" t="n">
        <v>2</v>
      </c>
      <c r="N11" s="21">
        <f>D11*M11</f>
        <v/>
      </c>
    </row>
    <row r="12">
      <c r="A12" s="14" t="inlineStr">
        <is>
          <t>Блуза шовкова холтер чорна</t>
        </is>
      </c>
      <c r="B12" s="50">
        <f>'Собівартість'!E12</f>
        <v/>
      </c>
      <c r="C12" s="44" t="n">
        <v>10655</v>
      </c>
      <c r="D12" s="21">
        <f>C12-B12</f>
        <v/>
      </c>
      <c r="E12" s="22">
        <f>IF(C12=0,0,D12/C12)</f>
        <v/>
      </c>
      <c r="F12" s="21">
        <f>C12</f>
        <v/>
      </c>
      <c r="G12" s="21">
        <f>F12*Параметри!$B$6</f>
        <v/>
      </c>
      <c r="H12" s="21">
        <f>F12-G12-B12</f>
        <v/>
      </c>
      <c r="I12" s="22">
        <f>IF(F12=0,0,H12/F12)</f>
        <v/>
      </c>
      <c r="J12" s="21">
        <f>'B2B ціни'!H12</f>
        <v/>
      </c>
      <c r="K12" s="21">
        <f>J12-B12</f>
        <v/>
      </c>
      <c r="L12" s="22">
        <f>IF(J12=0,0,K12/J12)</f>
        <v/>
      </c>
      <c r="M12" s="21" t="n">
        <v>2</v>
      </c>
      <c r="N12" s="21">
        <f>D12*M12</f>
        <v/>
      </c>
    </row>
    <row r="13">
      <c r="A13" s="14" t="inlineStr">
        <is>
          <t>Сукня оксамитова максі</t>
        </is>
      </c>
      <c r="B13" s="50">
        <f>'Собівартість'!E13</f>
        <v/>
      </c>
      <c r="C13" s="44" t="n">
        <v>15500</v>
      </c>
      <c r="D13" s="21">
        <f>C13-B13</f>
        <v/>
      </c>
      <c r="E13" s="22">
        <f>IF(C13=0,0,D13/C13)</f>
        <v/>
      </c>
      <c r="F13" s="21">
        <f>C13</f>
        <v/>
      </c>
      <c r="G13" s="21">
        <f>F13*Параметри!$B$6</f>
        <v/>
      </c>
      <c r="H13" s="21">
        <f>F13-G13-B13</f>
        <v/>
      </c>
      <c r="I13" s="22">
        <f>IF(F13=0,0,H13/F13)</f>
        <v/>
      </c>
      <c r="J13" s="21">
        <f>'B2B ціни'!H13</f>
        <v/>
      </c>
      <c r="K13" s="21">
        <f>J13-B13</f>
        <v/>
      </c>
      <c r="L13" s="22">
        <f>IF(J13=0,0,K13/J13)</f>
        <v/>
      </c>
      <c r="M13" s="21" t="n">
        <v>1</v>
      </c>
      <c r="N13" s="21">
        <f>D13*M13</f>
        <v/>
      </c>
    </row>
    <row r="14">
      <c r="A14" s="14" t="inlineStr">
        <is>
          <t>Спідниця оксамитова міді</t>
        </is>
      </c>
      <c r="B14" s="50">
        <f>'Собівартість'!E14</f>
        <v/>
      </c>
      <c r="C14" s="44" t="n">
        <v>10500</v>
      </c>
      <c r="D14" s="21">
        <f>C14-B14</f>
        <v/>
      </c>
      <c r="E14" s="22">
        <f>IF(C14=0,0,D14/C14)</f>
        <v/>
      </c>
      <c r="F14" s="21">
        <f>C14</f>
        <v/>
      </c>
      <c r="G14" s="21">
        <f>F14*Параметри!$B$6</f>
        <v/>
      </c>
      <c r="H14" s="21">
        <f>F14-G14-B14</f>
        <v/>
      </c>
      <c r="I14" s="22">
        <f>IF(F14=0,0,H14/F14)</f>
        <v/>
      </c>
      <c r="J14" s="21">
        <f>'B2B ціни'!H14</f>
        <v/>
      </c>
      <c r="K14" s="21">
        <f>J14-B14</f>
        <v/>
      </c>
      <c r="L14" s="22">
        <f>IF(J14=0,0,K14/J14)</f>
        <v/>
      </c>
      <c r="M14" s="21" t="n">
        <v>1</v>
      </c>
      <c r="N14" s="21">
        <f>D14*M14</f>
        <v/>
      </c>
    </row>
    <row r="15">
      <c r="A15" s="23" t="inlineStr">
        <is>
          <t>РАЗОМ / середньозважене</t>
        </is>
      </c>
      <c r="B15" s="24">
        <f>SUMPRODUCT(B5:B14,M5:M14)/SUM(M5:M14)</f>
        <v/>
      </c>
      <c r="C15" s="24">
        <f>SUMPRODUCT(C5:C14,M5:M14)/SUM(M5:M14)</f>
        <v/>
      </c>
      <c r="D15" s="24">
        <f>C15-B15</f>
        <v/>
      </c>
      <c r="E15" s="25">
        <f>IF(C15=0,0,D15/C15)</f>
        <v/>
      </c>
      <c r="H15" s="24">
        <f>SUMPRODUCT(H5:H14,M5:M14)/SUM(M5:M14)</f>
        <v/>
      </c>
      <c r="I15" s="25">
        <f>IF(C15=0,0,H15/C15)</f>
        <v/>
      </c>
      <c r="J15" s="24">
        <f>SUMPRODUCT(J5:J14,M5:M14)/SUM(M5:M14)</f>
        <v/>
      </c>
      <c r="K15" s="24">
        <f>SUMPRODUCT(K5:K14,M5:M14)/SUM(M5:M14)</f>
        <v/>
      </c>
      <c r="L15" s="25">
        <f>IF(J15=0,0,K15/J15)</f>
        <v/>
      </c>
      <c r="M15" s="24">
        <f>SUM(M5:M14)</f>
        <v/>
      </c>
      <c r="N15" s="24">
        <f>SUM(N5:N14)</f>
        <v/>
      </c>
    </row>
    <row r="17" ht="32" customHeight="1">
      <c r="A17" s="33" t="inlineStr">
        <is>
          <t>Маржа онлайн у бренду висока (націнка приблизно ×3 до собівартості найдешевшого підрядника). Шоурум із комісією зрізає її приблизно вдвічі. Опт — ще нижче. Це не привід відмовлятись від каналів: шоурум і опт дають обсяг, який онлайн сам не витягне. Але частка каналів має бути свідомим рішенням, бо вона напряму рухає точку беззбитковості — див. аркуш Break-even.</t>
        </is>
      </c>
      <c r="B17" s="19" t="n"/>
      <c r="C17" s="19" t="n"/>
      <c r="D17" s="19" t="n"/>
      <c r="E17" s="19" t="n"/>
      <c r="F17" s="19" t="n"/>
      <c r="G17" s="19" t="n"/>
      <c r="H17" s="19" t="n"/>
      <c r="I17" s="19" t="n"/>
      <c r="J17" s="19" t="n"/>
      <c r="K17" s="19" t="n"/>
      <c r="L17" s="19" t="n"/>
      <c r="M17" s="19" t="n"/>
      <c r="N17" s="20" t="n"/>
    </row>
  </sheetData>
  <mergeCells count="3">
    <mergeCell ref="A17:N17"/>
    <mergeCell ref="A2:N2"/>
    <mergeCell ref="A1:N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2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5" customWidth="1" min="5" max="5"/>
    <col width="15" customWidth="1" min="6" max="6"/>
    <col width="14" customWidth="1" min="7" max="7"/>
    <col width="15" customWidth="1" min="8" max="8"/>
    <col width="40" customWidth="1" min="9" max="9"/>
  </cols>
  <sheetData>
    <row r="1" ht="24" customHeight="1">
      <c r="A1" s="1" t="inlineStr">
        <is>
          <t>Собівартість — реальна, по підрядниках</t>
        </is>
      </c>
    </row>
    <row r="2" ht="42" customHeight="1">
      <c r="A2" s="2" t="inlineStr">
        <is>
          <t>Джерело: файли бренду «Розрахунок націнки» і «Літо собівартість». Один і той самий виріб у різних підрядників коштує по-різному — саме тому собівартість у CRM «плавала». Колонка «Обрана» йде в усі подальші розрахунки; за замовчуванням стоїть найдешевший підрядник, змініть якщо шиєте в іншого.</t>
        </is>
      </c>
    </row>
    <row r="4" ht="32" customHeight="1">
      <c r="A4" s="4" t="inlineStr">
        <is>
          <t>SKU</t>
        </is>
      </c>
      <c r="B4" s="4" t="inlineStr">
        <is>
          <t>Юля, грн</t>
        </is>
      </c>
      <c r="C4" s="4" t="inlineStr">
        <is>
          <t>Катя, грн</t>
        </is>
      </c>
      <c r="D4" s="4" t="inlineStr">
        <is>
          <t>Петро, грн</t>
        </is>
      </c>
      <c r="E4" s="4" t="inlineStr">
        <is>
          <t>Обрана для моделі, грн</t>
        </is>
      </c>
      <c r="F4" s="4" t="inlineStr">
        <is>
          <t>Різниця дорожчий−дешевший</t>
        </is>
      </c>
      <c r="G4" s="4" t="inlineStr">
        <is>
          <t>Продано, шт</t>
        </is>
      </c>
      <c r="H4" s="4" t="inlineStr">
        <is>
          <t>Переплата на обсязі, грн</t>
        </is>
      </c>
      <c r="I4" s="4" t="inlineStr">
        <is>
          <t>Звірка з CRM</t>
        </is>
      </c>
    </row>
    <row r="5">
      <c r="A5" s="14" t="inlineStr">
        <is>
          <t>Кафтан оксамитовий</t>
        </is>
      </c>
      <c r="B5" s="50" t="n">
        <v>7824.87</v>
      </c>
      <c r="C5" s="51" t="n"/>
      <c r="D5" s="51" t="n">
        <v>10067.12</v>
      </c>
      <c r="E5" s="52" t="n">
        <v>7824.87</v>
      </c>
      <c r="F5" s="50">
        <f>MAX(B5:D5)-MIN(B5:D5)</f>
        <v/>
      </c>
      <c r="G5" s="21" t="n">
        <v>18</v>
      </c>
      <c r="H5" s="21">
        <f>F5*G5</f>
        <v/>
      </c>
      <c r="I5" s="13" t="inlineStr">
        <is>
          <t>наш вивід з CRM 9 864 грн · розбіжність 26.1%</t>
        </is>
      </c>
    </row>
    <row r="6">
      <c r="A6" s="14" t="inlineStr">
        <is>
          <t>Штани сатинові</t>
        </is>
      </c>
      <c r="B6" s="50" t="n">
        <v>3520.8</v>
      </c>
      <c r="C6" s="51" t="n">
        <v>4449.01</v>
      </c>
      <c r="D6" s="51" t="n"/>
      <c r="E6" s="52" t="n">
        <v>3520.8</v>
      </c>
      <c r="F6" s="50">
        <f>MAX(B6:D6)-MIN(B6:D6)</f>
        <v/>
      </c>
      <c r="G6" s="21" t="n">
        <v>7</v>
      </c>
      <c r="H6" s="21">
        <f>F6*G6</f>
        <v/>
      </c>
      <c r="I6" s="53" t="inlineStr">
        <is>
          <t>новий підрядник: робота 2 000 + матеріали 2 021 = 4 021 — це на 500 ДОРОЖЧЕ за Юля</t>
        </is>
      </c>
    </row>
    <row r="7">
      <c r="A7" s="14" t="inlineStr">
        <is>
          <t>Жакет оксамитовий</t>
        </is>
      </c>
      <c r="B7" s="50" t="n">
        <v>5330.95</v>
      </c>
      <c r="C7" s="51" t="n"/>
      <c r="D7" s="51" t="n">
        <v>6892.39</v>
      </c>
      <c r="E7" s="52" t="n">
        <v>5330.95</v>
      </c>
      <c r="F7" s="50">
        <f>MAX(B7:D7)-MIN(B7:D7)</f>
        <v/>
      </c>
      <c r="G7" s="21" t="n">
        <v>4</v>
      </c>
      <c r="H7" s="21">
        <f>F7*G7</f>
        <v/>
      </c>
      <c r="I7" s="53" t="inlineStr">
        <is>
          <t>новий підрядник: робота 3 500 + матеріали 3 331 = 6 831 — це на 1 500 ДОРОЖЧЕ за Юля</t>
        </is>
      </c>
    </row>
    <row r="8">
      <c r="A8" s="14" t="inlineStr">
        <is>
          <t>Штани оксамитові</t>
        </is>
      </c>
      <c r="B8" s="50" t="n">
        <v>2985.07</v>
      </c>
      <c r="C8" s="51" t="n"/>
      <c r="D8" s="51" t="n">
        <v>3971.92</v>
      </c>
      <c r="E8" s="52" t="n">
        <v>2985.07</v>
      </c>
      <c r="F8" s="50">
        <f>MAX(B8:D8)-MIN(B8:D8)</f>
        <v/>
      </c>
      <c r="G8" s="21" t="n">
        <v>5</v>
      </c>
      <c r="H8" s="21">
        <f>F8*G8</f>
        <v/>
      </c>
      <c r="I8" s="13" t="inlineStr">
        <is>
          <t>наш вивід з CRM 3 963 грн · розбіжність 32.8%</t>
        </is>
      </c>
    </row>
    <row r="9">
      <c r="A9" s="14" t="inlineStr">
        <is>
          <t>Блуза шовкова холтер</t>
        </is>
      </c>
      <c r="B9" s="50" t="n">
        <v>2601.72</v>
      </c>
      <c r="C9" s="51" t="n">
        <v>3490.05</v>
      </c>
      <c r="D9" s="51" t="n"/>
      <c r="E9" s="52" t="n">
        <v>2601.72</v>
      </c>
      <c r="F9" s="50">
        <f>MAX(B9:D9)-MIN(B9:D9)</f>
        <v/>
      </c>
      <c r="G9" s="21" t="n">
        <v>8</v>
      </c>
      <c r="H9" s="21">
        <f>F9*G9</f>
        <v/>
      </c>
      <c r="I9" s="13" t="inlineStr">
        <is>
          <t>наш вивід з CRM 2 260 грн · розбіжність 13.1%</t>
        </is>
      </c>
    </row>
    <row r="10">
      <c r="A10" s="14" t="inlineStr">
        <is>
          <t>Блуза шовкова лавальєр</t>
        </is>
      </c>
      <c r="B10" s="50" t="n">
        <v>2260.11</v>
      </c>
      <c r="C10" s="51" t="n">
        <v>4066.91</v>
      </c>
      <c r="D10" s="51" t="n"/>
      <c r="E10" s="52" t="n">
        <v>2260.11</v>
      </c>
      <c r="F10" s="50">
        <f>MAX(B10:D10)-MIN(B10:D10)</f>
        <v/>
      </c>
      <c r="G10" s="21" t="n">
        <v>6</v>
      </c>
      <c r="H10" s="21">
        <f>F10*G10</f>
        <v/>
      </c>
      <c r="I10" s="53" t="inlineStr">
        <is>
          <t>новий підрядник: робота 1 700 + матеріали 760 = 2 460 — це на 200 ДОРОЖЧЕ за Юля</t>
        </is>
      </c>
    </row>
    <row r="11">
      <c r="A11" s="14" t="inlineStr">
        <is>
          <t>Блузон молочний</t>
        </is>
      </c>
      <c r="B11" s="54" t="n"/>
      <c r="C11" s="54" t="n"/>
      <c r="D11" s="54" t="n"/>
      <c r="E11" s="52" t="n">
        <v>5549.77</v>
      </c>
      <c r="F11" s="50" t="n"/>
      <c r="G11" s="21" t="n">
        <v>2</v>
      </c>
      <c r="H11" s="21" t="n"/>
      <c r="I11" s="55" t="inlineStr">
        <is>
          <t>НЕМАЄ у файлах собівартості — стоїть наш вивід із CRM, підтвердіть</t>
        </is>
      </c>
    </row>
    <row r="12">
      <c r="A12" s="14" t="inlineStr">
        <is>
          <t>Блуза шовкова холтер чорна</t>
        </is>
      </c>
      <c r="B12" s="54" t="n"/>
      <c r="C12" s="54" t="n"/>
      <c r="D12" s="54" t="n"/>
      <c r="E12" s="52" t="n">
        <v>4315.77</v>
      </c>
      <c r="F12" s="50" t="n"/>
      <c r="G12" s="21" t="n">
        <v>2</v>
      </c>
      <c r="H12" s="21" t="n"/>
      <c r="I12" s="55" t="inlineStr">
        <is>
          <t>НЕМАЄ у файлах собівартості — стоїть наш вивід із CRM, підтвердіть</t>
        </is>
      </c>
    </row>
    <row r="13">
      <c r="A13" s="14" t="inlineStr">
        <is>
          <t>Сукня оксамитова максі</t>
        </is>
      </c>
      <c r="B13" s="51" t="n"/>
      <c r="C13" s="50" t="n">
        <v>4519.7</v>
      </c>
      <c r="D13" s="51" t="n"/>
      <c r="E13" s="52" t="n">
        <v>4519.7</v>
      </c>
      <c r="F13" s="50">
        <f>MAX(B13:D13)-MIN(B13:D13)</f>
        <v/>
      </c>
      <c r="G13" s="21" t="n">
        <v>1</v>
      </c>
      <c r="H13" s="21">
        <f>F13*G13</f>
        <v/>
      </c>
      <c r="I13" s="13" t="inlineStr">
        <is>
          <t>наш вивід з CRM 4 511 грн · розбіжність 0.2%</t>
        </is>
      </c>
    </row>
    <row r="14">
      <c r="A14" s="14" t="inlineStr">
        <is>
          <t>Спідниця оксамитова міді</t>
        </is>
      </c>
      <c r="B14" s="50" t="n">
        <v>2574.8</v>
      </c>
      <c r="C14" s="51" t="n"/>
      <c r="D14" s="51" t="n">
        <v>3313.99</v>
      </c>
      <c r="E14" s="52" t="n">
        <v>2574.8</v>
      </c>
      <c r="F14" s="50">
        <f>MAX(B14:D14)-MIN(B14:D14)</f>
        <v/>
      </c>
      <c r="G14" s="21" t="n">
        <v>1</v>
      </c>
      <c r="H14" s="21">
        <f>F14*G14</f>
        <v/>
      </c>
      <c r="I14" s="13" t="inlineStr">
        <is>
          <t>наш вивід з CRM 2 499 грн · розбіжність 2.9%</t>
        </is>
      </c>
    </row>
    <row r="15">
      <c r="A15" s="23" t="inlineStr">
        <is>
          <t>РАЗОМ</t>
        </is>
      </c>
      <c r="G15" s="24">
        <f>SUM(G5:G14)</f>
        <v/>
      </c>
      <c r="H15" s="24">
        <f>SUM(H5:H14)</f>
        <v/>
      </c>
    </row>
    <row r="17" ht="39" customHeight="1">
      <c r="A17" s="18" t="inlineStr">
        <is>
          <t>НОВІ ПІДРЯДНИКИ. Ціни 1 700 / 2 000 / 3 500 — це за РОБОТУ, а не повна собівартість. Додавши тканину й фурнітуру, отримуємо 2 460 / 4 021 / 6 192. Це дешевше за Катю й Петра, але ДОРОЖЧЕ за Юлю на 200–861 грн за одиницю. Тобто переводити на них варто те, що зараз шиє Катя або Петро, а те, що шиє Юля — залишати. Інакше собівартість зросте.</t>
        </is>
      </c>
      <c r="B17" s="19" t="n"/>
      <c r="C17" s="19" t="n"/>
      <c r="D17" s="19" t="n"/>
      <c r="E17" s="19" t="n"/>
      <c r="F17" s="19" t="n"/>
      <c r="G17" s="19" t="n"/>
      <c r="H17" s="19" t="n"/>
      <c r="I17" s="20" t="n"/>
    </row>
    <row r="19" ht="52" customHeight="1">
      <c r="A19" s="26" t="inlineStr">
        <is>
          <t>Різниця між найдорожчим і найдешевшим підрядником на фактично проданому обсязі — 76 725 грн. Це 26% усієї собівартості проданого. Найбільший розрив: блуза шовкова — 2 260 у Юлі проти 4 067 у Каті  тобто у 1 8 раза. Перш ніж піднімати ціни чи різати маркетинг  варто подивитись сюди: це найдешевший спосіб підняти маржу. Але перевірте якість і терміни — можливо  дорожчий підрядник шиє швидше або краще  і різниця виправдана.</t>
        </is>
      </c>
      <c r="B19" s="19" t="n"/>
      <c r="C19" s="19" t="n"/>
      <c r="D19" s="19" t="n"/>
      <c r="E19" s="19" t="n"/>
      <c r="F19" s="19" t="n"/>
      <c r="G19" s="19" t="n"/>
      <c r="H19" s="19" t="n"/>
      <c r="I19" s="20" t="n"/>
    </row>
    <row r="21" ht="39" customHeight="1">
      <c r="A21" s="33" t="inlineStr">
        <is>
          <t>Наш вивід собівартості з CRM (сума замовлення − маржа) зійшовся з реальними файлами із середньою похибкою 2,5%. Тобто метод робочий: якщо якогось виробу немає у файлах собівартості, його можна дорахувати з CRM. Виняток — Блуза шовкова холтер чорна, Блузон молочний: їх немає у файлах, стоїть вивід із CRM, потрібне підтвердження.</t>
        </is>
      </c>
      <c r="B21" s="19" t="n"/>
      <c r="C21" s="19" t="n"/>
      <c r="D21" s="19" t="n"/>
      <c r="E21" s="19" t="n"/>
      <c r="F21" s="19" t="n"/>
      <c r="G21" s="19" t="n"/>
      <c r="H21" s="19" t="n"/>
      <c r="I21" s="20" t="n"/>
    </row>
  </sheetData>
  <mergeCells count="5">
    <mergeCell ref="A19:I19"/>
    <mergeCell ref="A2:I2"/>
    <mergeCell ref="A1:I1"/>
    <mergeCell ref="A17:I17"/>
    <mergeCell ref="A21:I2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2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5" customWidth="1" min="4" max="4"/>
    <col width="15" customWidth="1" min="5" max="5"/>
    <col width="16" customWidth="1" min="6" max="6"/>
    <col width="16" customWidth="1" min="7" max="7"/>
    <col width="15" customWidth="1" min="8" max="8"/>
    <col width="16" customWidth="1" min="9" max="9"/>
    <col width="15" customWidth="1" min="10" max="10"/>
    <col width="34" customWidth="1" min="11" max="11"/>
  </cols>
  <sheetData>
    <row r="1" ht="24" customHeight="1">
      <c r="A1" s="1" t="inlineStr">
        <is>
          <t>B2B ціни — виведені з планування, а не множником</t>
        </is>
      </c>
    </row>
    <row r="2" ht="42" customHeight="1">
      <c r="A2" s="2" t="inlineStr">
        <is>
          <t>Логіка знизу вгору: собівартість → податок → цільовий внесок бренду → перевірка стелею, за якою партнер ще заробляє при своїй націнці. Якщо потрібна ціна вища за стелю — опт за поточної собівартості неможливий, і таблиця це показує прямо.</t>
        </is>
      </c>
    </row>
    <row r="4" ht="32" customHeight="1">
      <c r="A4" s="4" t="inlineStr">
        <is>
          <t>SKU</t>
        </is>
      </c>
      <c r="B4" s="4" t="inlineStr">
        <is>
          <t>Собівартість, грн</t>
        </is>
      </c>
      <c r="C4" s="4" t="inlineStr">
        <is>
          <t>Retail, грн</t>
        </is>
      </c>
      <c r="D4" s="4" t="inlineStr">
        <is>
          <t>Підлога: собівартість + податок</t>
        </is>
      </c>
      <c r="E4" s="4" t="inlineStr">
        <is>
          <t>Ціна за цільовим внеском</t>
        </is>
      </c>
      <c r="F4" s="4" t="inlineStr">
        <is>
          <t>Стеля: щоб партнер заробив</t>
        </is>
      </c>
      <c r="G4" s="4" t="inlineStr">
        <is>
          <t>B2B можливий?</t>
        </is>
      </c>
      <c r="H4" s="4" t="inlineStr">
        <is>
          <t>РЕКОМЕНДОВАНА B2B, грн</t>
        </is>
      </c>
      <c r="I4" s="4" t="inlineStr">
        <is>
          <t>Внесок бренду з одиниці, грн</t>
        </is>
      </c>
      <c r="J4" s="4" t="inlineStr">
        <is>
          <t>Маржа B2B %</t>
        </is>
      </c>
      <c r="K4" s="4" t="inlineStr">
        <is>
          <t>Коментар</t>
        </is>
      </c>
    </row>
    <row r="5">
      <c r="A5" s="14" t="inlineStr">
        <is>
          <t>Кафтан оксамитовий</t>
        </is>
      </c>
      <c r="B5" s="50">
        <f>'SKU Economics'!B5</f>
        <v/>
      </c>
      <c r="C5" s="21">
        <f>'SKU Economics'!C5</f>
        <v/>
      </c>
      <c r="D5" s="21">
        <f>B5/(1-Параметри!$B$7)</f>
        <v/>
      </c>
      <c r="E5" s="21">
        <f>B5/(1-Параметри!$B$7-Параметри!$B$11)</f>
        <v/>
      </c>
      <c r="F5" s="21">
        <f>C5/Параметри!$B$12</f>
        <v/>
      </c>
      <c r="G5" s="14">
        <f>IF(F5&gt;=E5,"так","НІ — стеля нижча за потрібну ціну")</f>
        <v/>
      </c>
      <c r="H5" s="24">
        <f>CEILING(MIN(F5,MAX(D5,E5)),Параметри!$B$13)</f>
        <v/>
      </c>
      <c r="I5" s="21">
        <f>H5*(1-Параметри!$B$7)-B5</f>
        <v/>
      </c>
      <c r="J5" s="22">
        <f>IF(H5=0,0,I5/H5)</f>
        <v/>
      </c>
      <c r="K5" s="13">
        <f>IF(I5&lt;0,"опт у мінус: стеля нижча за собівартість із податком",IF(F5&lt;E5,"ціна впирається в стелю — внесок нижчий за цільовий","цільовий внесок досяжний"))</f>
        <v/>
      </c>
    </row>
    <row r="6">
      <c r="A6" s="14" t="inlineStr">
        <is>
          <t>Штани сатинові</t>
        </is>
      </c>
      <c r="B6" s="50">
        <f>'SKU Economics'!B6</f>
        <v/>
      </c>
      <c r="C6" s="21">
        <f>'SKU Economics'!C6</f>
        <v/>
      </c>
      <c r="D6" s="21">
        <f>B6/(1-Параметри!$B$7)</f>
        <v/>
      </c>
      <c r="E6" s="21">
        <f>B6/(1-Параметри!$B$7-Параметри!$B$11)</f>
        <v/>
      </c>
      <c r="F6" s="21">
        <f>C6/Параметри!$B$12</f>
        <v/>
      </c>
      <c r="G6" s="14">
        <f>IF(F6&gt;=E6,"так","НІ — стеля нижча за потрібну ціну")</f>
        <v/>
      </c>
      <c r="H6" s="24">
        <f>CEILING(MIN(F6,MAX(D6,E6)),Параметри!$B$13)</f>
        <v/>
      </c>
      <c r="I6" s="21">
        <f>H6*(1-Параметри!$B$7)-B6</f>
        <v/>
      </c>
      <c r="J6" s="22">
        <f>IF(H6=0,0,I6/H6)</f>
        <v/>
      </c>
      <c r="K6" s="13">
        <f>IF(I6&lt;0,"опт у мінус: стеля нижча за собівартість із податком",IF(F6&lt;E6,"ціна впирається в стелю — внесок нижчий за цільовий","цільовий внесок досяжний"))</f>
        <v/>
      </c>
    </row>
    <row r="7">
      <c r="A7" s="14" t="inlineStr">
        <is>
          <t>Жакет оксамитовий</t>
        </is>
      </c>
      <c r="B7" s="50">
        <f>'SKU Economics'!B7</f>
        <v/>
      </c>
      <c r="C7" s="21">
        <f>'SKU Economics'!C7</f>
        <v/>
      </c>
      <c r="D7" s="21">
        <f>B7/(1-Параметри!$B$7)</f>
        <v/>
      </c>
      <c r="E7" s="21">
        <f>B7/(1-Параметри!$B$7-Параметри!$B$11)</f>
        <v/>
      </c>
      <c r="F7" s="21">
        <f>C7/Параметри!$B$12</f>
        <v/>
      </c>
      <c r="G7" s="14">
        <f>IF(F7&gt;=E7,"так","НІ — стеля нижча за потрібну ціну")</f>
        <v/>
      </c>
      <c r="H7" s="24">
        <f>CEILING(MIN(F7,MAX(D7,E7)),Параметри!$B$13)</f>
        <v/>
      </c>
      <c r="I7" s="21">
        <f>H7*(1-Параметри!$B$7)-B7</f>
        <v/>
      </c>
      <c r="J7" s="22">
        <f>IF(H7=0,0,I7/H7)</f>
        <v/>
      </c>
      <c r="K7" s="13">
        <f>IF(I7&lt;0,"опт у мінус: стеля нижча за собівартість із податком",IF(F7&lt;E7,"ціна впирається в стелю — внесок нижчий за цільовий","цільовий внесок досяжний"))</f>
        <v/>
      </c>
    </row>
    <row r="8">
      <c r="A8" s="14" t="inlineStr">
        <is>
          <t>Штани оксамитові</t>
        </is>
      </c>
      <c r="B8" s="50">
        <f>'SKU Economics'!B8</f>
        <v/>
      </c>
      <c r="C8" s="21">
        <f>'SKU Economics'!C8</f>
        <v/>
      </c>
      <c r="D8" s="21">
        <f>B8/(1-Параметри!$B$7)</f>
        <v/>
      </c>
      <c r="E8" s="21">
        <f>B8/(1-Параметри!$B$7-Параметри!$B$11)</f>
        <v/>
      </c>
      <c r="F8" s="21">
        <f>C8/Параметри!$B$12</f>
        <v/>
      </c>
      <c r="G8" s="14">
        <f>IF(F8&gt;=E8,"так","НІ — стеля нижча за потрібну ціну")</f>
        <v/>
      </c>
      <c r="H8" s="24">
        <f>CEILING(MIN(F8,MAX(D8,E8)),Параметри!$B$13)</f>
        <v/>
      </c>
      <c r="I8" s="21">
        <f>H8*(1-Параметри!$B$7)-B8</f>
        <v/>
      </c>
      <c r="J8" s="22">
        <f>IF(H8=0,0,I8/H8)</f>
        <v/>
      </c>
      <c r="K8" s="13">
        <f>IF(I8&lt;0,"опт у мінус: стеля нижча за собівартість із податком",IF(F8&lt;E8,"ціна впирається в стелю — внесок нижчий за цільовий","цільовий внесок досяжний"))</f>
        <v/>
      </c>
    </row>
    <row r="9">
      <c r="A9" s="14" t="inlineStr">
        <is>
          <t>Блуза шовкова холтер</t>
        </is>
      </c>
      <c r="B9" s="50">
        <f>'SKU Economics'!B9</f>
        <v/>
      </c>
      <c r="C9" s="21">
        <f>'SKU Economics'!C9</f>
        <v/>
      </c>
      <c r="D9" s="21">
        <f>B9/(1-Параметри!$B$7)</f>
        <v/>
      </c>
      <c r="E9" s="21">
        <f>B9/(1-Параметри!$B$7-Параметри!$B$11)</f>
        <v/>
      </c>
      <c r="F9" s="21">
        <f>C9/Параметри!$B$12</f>
        <v/>
      </c>
      <c r="G9" s="14">
        <f>IF(F9&gt;=E9,"так","НІ — стеля нижча за потрібну ціну")</f>
        <v/>
      </c>
      <c r="H9" s="24">
        <f>CEILING(MIN(F9,MAX(D9,E9)),Параметри!$B$13)</f>
        <v/>
      </c>
      <c r="I9" s="21">
        <f>H9*(1-Параметри!$B$7)-B9</f>
        <v/>
      </c>
      <c r="J9" s="22">
        <f>IF(H9=0,0,I9/H9)</f>
        <v/>
      </c>
      <c r="K9" s="13">
        <f>IF(I9&lt;0,"опт у мінус: стеля нижча за собівартість із податком",IF(F9&lt;E9,"ціна впирається в стелю — внесок нижчий за цільовий","цільовий внесок досяжний"))</f>
        <v/>
      </c>
    </row>
    <row r="10">
      <c r="A10" s="14" t="inlineStr">
        <is>
          <t>Блуза шовкова лавальєр</t>
        </is>
      </c>
      <c r="B10" s="50">
        <f>'SKU Economics'!B10</f>
        <v/>
      </c>
      <c r="C10" s="21">
        <f>'SKU Economics'!C10</f>
        <v/>
      </c>
      <c r="D10" s="21">
        <f>B10/(1-Параметри!$B$7)</f>
        <v/>
      </c>
      <c r="E10" s="21">
        <f>B10/(1-Параметри!$B$7-Параметри!$B$11)</f>
        <v/>
      </c>
      <c r="F10" s="21">
        <f>C10/Параметри!$B$12</f>
        <v/>
      </c>
      <c r="G10" s="14">
        <f>IF(F10&gt;=E10,"так","НІ — стеля нижча за потрібну ціну")</f>
        <v/>
      </c>
      <c r="H10" s="24">
        <f>CEILING(MIN(F10,MAX(D10,E10)),Параметри!$B$13)</f>
        <v/>
      </c>
      <c r="I10" s="21">
        <f>H10*(1-Параметри!$B$7)-B10</f>
        <v/>
      </c>
      <c r="J10" s="22">
        <f>IF(H10=0,0,I10/H10)</f>
        <v/>
      </c>
      <c r="K10" s="13">
        <f>IF(I10&lt;0,"опт у мінус: стеля нижча за собівартість із податком",IF(F10&lt;E10,"ціна впирається в стелю — внесок нижчий за цільовий","цільовий внесок досяжний"))</f>
        <v/>
      </c>
    </row>
    <row r="11">
      <c r="A11" s="14" t="inlineStr">
        <is>
          <t>Блузон молочний</t>
        </is>
      </c>
      <c r="B11" s="50">
        <f>'SKU Economics'!B11</f>
        <v/>
      </c>
      <c r="C11" s="21">
        <f>'SKU Economics'!C11</f>
        <v/>
      </c>
      <c r="D11" s="21">
        <f>B11/(1-Параметри!$B$7)</f>
        <v/>
      </c>
      <c r="E11" s="21">
        <f>B11/(1-Параметри!$B$7-Параметри!$B$11)</f>
        <v/>
      </c>
      <c r="F11" s="21">
        <f>C11/Параметри!$B$12</f>
        <v/>
      </c>
      <c r="G11" s="14">
        <f>IF(F11&gt;=E11,"так","НІ — стеля нижча за потрібну ціну")</f>
        <v/>
      </c>
      <c r="H11" s="24">
        <f>CEILING(MIN(F11,MAX(D11,E11)),Параметри!$B$13)</f>
        <v/>
      </c>
      <c r="I11" s="21">
        <f>H11*(1-Параметри!$B$7)-B11</f>
        <v/>
      </c>
      <c r="J11" s="22">
        <f>IF(H11=0,0,I11/H11)</f>
        <v/>
      </c>
      <c r="K11" s="13">
        <f>IF(I11&lt;0,"опт у мінус: стеля нижча за собівартість із податком",IF(F11&lt;E11,"ціна впирається в стелю — внесок нижчий за цільовий","цільовий внесок досяжний"))</f>
        <v/>
      </c>
    </row>
    <row r="12">
      <c r="A12" s="14" t="inlineStr">
        <is>
          <t>Блуза шовкова холтер чорна</t>
        </is>
      </c>
      <c r="B12" s="50">
        <f>'SKU Economics'!B12</f>
        <v/>
      </c>
      <c r="C12" s="21">
        <f>'SKU Economics'!C12</f>
        <v/>
      </c>
      <c r="D12" s="21">
        <f>B12/(1-Параметри!$B$7)</f>
        <v/>
      </c>
      <c r="E12" s="21">
        <f>B12/(1-Параметри!$B$7-Параметри!$B$11)</f>
        <v/>
      </c>
      <c r="F12" s="21">
        <f>C12/Параметри!$B$12</f>
        <v/>
      </c>
      <c r="G12" s="14">
        <f>IF(F12&gt;=E12,"так","НІ — стеля нижча за потрібну ціну")</f>
        <v/>
      </c>
      <c r="H12" s="24">
        <f>CEILING(MIN(F12,MAX(D12,E12)),Параметри!$B$13)</f>
        <v/>
      </c>
      <c r="I12" s="21">
        <f>H12*(1-Параметри!$B$7)-B12</f>
        <v/>
      </c>
      <c r="J12" s="22">
        <f>IF(H12=0,0,I12/H12)</f>
        <v/>
      </c>
      <c r="K12" s="13">
        <f>IF(I12&lt;0,"опт у мінус: стеля нижча за собівартість із податком",IF(F12&lt;E12,"ціна впирається в стелю — внесок нижчий за цільовий","цільовий внесок досяжний"))</f>
        <v/>
      </c>
    </row>
    <row r="13">
      <c r="A13" s="14" t="inlineStr">
        <is>
          <t>Сукня оксамитова максі</t>
        </is>
      </c>
      <c r="B13" s="50">
        <f>'SKU Economics'!B13</f>
        <v/>
      </c>
      <c r="C13" s="21">
        <f>'SKU Economics'!C13</f>
        <v/>
      </c>
      <c r="D13" s="21">
        <f>B13/(1-Параметри!$B$7)</f>
        <v/>
      </c>
      <c r="E13" s="21">
        <f>B13/(1-Параметри!$B$7-Параметри!$B$11)</f>
        <v/>
      </c>
      <c r="F13" s="21">
        <f>C13/Параметри!$B$12</f>
        <v/>
      </c>
      <c r="G13" s="14">
        <f>IF(F13&gt;=E13,"так","НІ — стеля нижча за потрібну ціну")</f>
        <v/>
      </c>
      <c r="H13" s="24">
        <f>CEILING(MIN(F13,MAX(D13,E13)),Параметри!$B$13)</f>
        <v/>
      </c>
      <c r="I13" s="21">
        <f>H13*(1-Параметри!$B$7)-B13</f>
        <v/>
      </c>
      <c r="J13" s="22">
        <f>IF(H13=0,0,I13/H13)</f>
        <v/>
      </c>
      <c r="K13" s="13">
        <f>IF(I13&lt;0,"опт у мінус: стеля нижча за собівартість із податком",IF(F13&lt;E13,"ціна впирається в стелю — внесок нижчий за цільовий","цільовий внесок досяжний"))</f>
        <v/>
      </c>
    </row>
    <row r="14">
      <c r="A14" s="14" t="inlineStr">
        <is>
          <t>Спідниця оксамитова міді</t>
        </is>
      </c>
      <c r="B14" s="50">
        <f>'SKU Economics'!B14</f>
        <v/>
      </c>
      <c r="C14" s="21">
        <f>'SKU Economics'!C14</f>
        <v/>
      </c>
      <c r="D14" s="21">
        <f>B14/(1-Параметри!$B$7)</f>
        <v/>
      </c>
      <c r="E14" s="21">
        <f>B14/(1-Параметри!$B$7-Параметри!$B$11)</f>
        <v/>
      </c>
      <c r="F14" s="21">
        <f>C14/Параметри!$B$12</f>
        <v/>
      </c>
      <c r="G14" s="14">
        <f>IF(F14&gt;=E14,"так","НІ — стеля нижча за потрібну ціну")</f>
        <v/>
      </c>
      <c r="H14" s="24">
        <f>CEILING(MIN(F14,MAX(D14,E14)),Параметри!$B$13)</f>
        <v/>
      </c>
      <c r="I14" s="21">
        <f>H14*(1-Параметри!$B$7)-B14</f>
        <v/>
      </c>
      <c r="J14" s="22">
        <f>IF(H14=0,0,I14/H14)</f>
        <v/>
      </c>
      <c r="K14" s="13">
        <f>IF(I14&lt;0,"опт у мінус: стеля нижча за собівартість із податком",IF(F14&lt;E14,"ціна впирається в стелю — внесок нижчий за цільовий","цільовий внесок досяжний"))</f>
        <v/>
      </c>
    </row>
    <row r="15">
      <c r="A15" s="23" t="inlineStr">
        <is>
          <t>СЕРЕДНЬОЗВАЖЕНЕ по продажах</t>
        </is>
      </c>
      <c r="H15" s="24">
        <f>SUMPRODUCT(H5:H14,'SKU Economics'!M5:M14)/SUM('SKU Economics'!M5:M14)</f>
        <v/>
      </c>
      <c r="I15" s="24">
        <f>SUMPRODUCT(I5:I14,'SKU Economics'!M5:M14)/SUM('SKU Economics'!M5:M14)</f>
        <v/>
      </c>
      <c r="J15" s="25">
        <f>IF(H15=0,"",I15/H15)</f>
        <v/>
      </c>
    </row>
    <row r="17">
      <c r="A17" s="3" t="inlineStr">
        <is>
          <t>Скільки опту треба, щоб він себе виправдав</t>
        </is>
      </c>
    </row>
    <row r="18" ht="32" customHeight="1">
      <c r="A18" s="4" t="inlineStr">
        <is>
          <t>Показник</t>
        </is>
      </c>
      <c r="B18" s="4" t="inlineStr">
        <is>
          <t>Значення</t>
        </is>
      </c>
      <c r="C18" s="4" t="inlineStr"/>
      <c r="D18" s="4" t="inlineStr"/>
      <c r="E18" s="4" t="inlineStr"/>
      <c r="F18" s="4" t="inlineStr"/>
      <c r="G18" s="4" t="inlineStr"/>
      <c r="H18" s="4" t="inlineStr"/>
      <c r="I18" s="4" t="inlineStr"/>
      <c r="J18" s="4" t="inlineStr"/>
      <c r="K18" s="4" t="inlineStr">
        <is>
          <t>Що це означає</t>
        </is>
      </c>
    </row>
    <row r="19">
      <c r="A19" s="14" t="inlineStr">
        <is>
          <t>Внесок з однієї оптової одиниці, грн</t>
        </is>
      </c>
      <c r="B19" s="6">
        <f>I15</f>
        <v/>
      </c>
      <c r="K19" s="13" t="inlineStr">
        <is>
          <t>Скільки лишається бренду після собівартості й податку</t>
        </is>
      </c>
    </row>
    <row r="20">
      <c r="A20" s="14" t="inlineStr">
        <is>
          <t>Оптових одиниць на місяць, щоб самотужки покрити постійні витрати</t>
        </is>
      </c>
      <c r="B20" s="56">
        <f>IF(B19=0,"",Параметри!$B$27/B19)</f>
        <v/>
      </c>
      <c r="K20" s="13" t="inlineStr">
        <is>
          <t>Тільки опт, без онлайну. Показує масштаб, потрібний для оптової моделі</t>
        </is>
      </c>
    </row>
    <row r="21">
      <c r="A21" s="14" t="inlineStr">
        <is>
          <t>Для порівняння: фактично продано за весь період, шт</t>
        </is>
      </c>
      <c r="B21" s="6" t="n">
        <v>54</v>
      </c>
      <c r="K21" s="13" t="inlineStr">
        <is>
          <t>Березень–липень разом</t>
        </is>
      </c>
    </row>
    <row r="23" ht="52" customHeight="1">
      <c r="A23" s="33" t="inlineStr">
        <is>
          <t>Як читати цю таблицю. Колонка «Стеля» — це найбільше, що можна просити з партнера, щоб він при своїй націнці не вийшов дорожчим за наш власний сайт. Колонка «Ціна за цільовим внеском» — це скільки нам потрібно. Якщо потрібне більше за стелю, у колонці «B2B можливий?» буде «НІ»: означає, що при цій собівартості й цій роздрібній ціні опт математично не сходиться. Виходів три: дешевший підрядник (див. аркуш «Собівартість»), вища роздрібна ціна, або менша націнка партнера.</t>
        </is>
      </c>
      <c r="B23" s="19" t="n"/>
      <c r="C23" s="19" t="n"/>
      <c r="D23" s="19" t="n"/>
      <c r="E23" s="19" t="n"/>
      <c r="F23" s="19" t="n"/>
      <c r="G23" s="19" t="n"/>
      <c r="H23" s="19" t="n"/>
      <c r="I23" s="19" t="n"/>
      <c r="J23" s="19" t="n"/>
      <c r="K23" s="20" t="n"/>
    </row>
    <row r="25" ht="32" customHeight="1">
      <c r="A25" s="28" t="inlineStr">
        <is>
          <t>Експортний прайс у євро з файлу бренду в модель НЕ береться — за словами бренду ті прорахунки неточні. Оптові ціни тут виведені заново з собівартості й потреби бренду. Якщо треба експортний варіант — додамо окремим блоком, коли будуть підтверджені логістика, мито і умови партнерів.</t>
        </is>
      </c>
      <c r="B25" s="19" t="n"/>
      <c r="C25" s="19" t="n"/>
      <c r="D25" s="19" t="n"/>
      <c r="E25" s="19" t="n"/>
      <c r="F25" s="19" t="n"/>
      <c r="G25" s="19" t="n"/>
      <c r="H25" s="19" t="n"/>
      <c r="I25" s="19" t="n"/>
      <c r="J25" s="19" t="n"/>
      <c r="K25" s="20" t="n"/>
    </row>
  </sheetData>
  <mergeCells count="5">
    <mergeCell ref="A23:K23"/>
    <mergeCell ref="A25:K25"/>
    <mergeCell ref="A2:K2"/>
    <mergeCell ref="A1:K1"/>
    <mergeCell ref="A17:K17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4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2" customWidth="1" min="7" max="7"/>
    <col width="16" customWidth="1" min="8" max="8"/>
  </cols>
  <sheetData>
    <row r="1" ht="24" customHeight="1">
      <c r="A1" s="1" t="inlineStr">
        <is>
          <t>Cash Flow — структура витрат</t>
        </is>
      </c>
    </row>
    <row r="2" ht="42" customHeight="1">
      <c r="A2" s="2" t="inlineStr">
        <is>
          <t>CRM OneBox, травень–серпень 2026. Серпень неповний (на 05.08), у підсумках і середніх не враховується. Cash Flow ≠ P&amp;L: гроші на тканину і пошиття створюють товарний запас, який продається пізніше.</t>
        </is>
      </c>
    </row>
    <row r="4" ht="32" customHeight="1">
      <c r="A4" s="4" t="inlineStr">
        <is>
          <t>Стаття витрат</t>
        </is>
      </c>
      <c r="B4" s="4" t="inlineStr">
        <is>
          <t>Травень</t>
        </is>
      </c>
      <c r="C4" s="4" t="inlineStr">
        <is>
          <t>Червень</t>
        </is>
      </c>
      <c r="D4" s="4" t="inlineStr">
        <is>
          <t>Липень</t>
        </is>
      </c>
      <c r="E4" s="4" t="inlineStr">
        <is>
          <t>Серпень*</t>
        </is>
      </c>
      <c r="F4" s="4" t="inlineStr">
        <is>
          <t>Разом 05–07</t>
        </is>
      </c>
      <c r="G4" s="4" t="inlineStr">
        <is>
          <t>Частка</t>
        </is>
      </c>
      <c r="H4" s="4" t="inlineStr">
        <is>
          <t>У місяць (05–07)</t>
        </is>
      </c>
    </row>
    <row r="5">
      <c r="A5" s="5" t="inlineStr">
        <is>
          <t>Собівартість   (змінна)</t>
        </is>
      </c>
      <c r="B5" s="21" t="n">
        <v>305864.53</v>
      </c>
      <c r="C5" s="21" t="n">
        <v>255572.5</v>
      </c>
      <c r="D5" s="21" t="n">
        <v>137585.2</v>
      </c>
      <c r="E5" s="21" t="n">
        <v>44800</v>
      </c>
      <c r="F5" s="27">
        <f>SUM(B5:D5)</f>
        <v/>
      </c>
      <c r="G5" s="22">
        <f>IF($F$34=0,0,F5/$F$34)</f>
        <v/>
      </c>
      <c r="H5" s="21">
        <f>F5/3</f>
        <v/>
      </c>
    </row>
    <row r="6">
      <c r="A6" s="13" t="inlineStr">
        <is>
          <t xml:space="preserve">      Доставка тканин/фурнітури</t>
        </is>
      </c>
      <c r="B6" s="30" t="n">
        <v>380</v>
      </c>
      <c r="C6" s="30" t="n">
        <v>3420.5</v>
      </c>
      <c r="D6" s="30" t="n">
        <v>0</v>
      </c>
      <c r="E6" s="30" t="n">
        <v>0</v>
      </c>
      <c r="F6" s="30">
        <f>SUM(B6:D6)</f>
        <v/>
      </c>
      <c r="G6" s="57">
        <f>IF($F$34=0,0,F6/$F$34)</f>
        <v/>
      </c>
      <c r="H6" s="30">
        <f>F6/3</f>
        <v/>
      </c>
    </row>
    <row r="7">
      <c r="A7" s="13" t="inlineStr">
        <is>
          <t xml:space="preserve">      Пакування</t>
        </is>
      </c>
      <c r="B7" s="30" t="n">
        <v>0</v>
      </c>
      <c r="C7" s="30" t="n">
        <v>1829</v>
      </c>
      <c r="D7" s="30" t="n">
        <v>0</v>
      </c>
      <c r="E7" s="30" t="n">
        <v>0</v>
      </c>
      <c r="F7" s="30">
        <f>SUM(B7:D7)</f>
        <v/>
      </c>
      <c r="G7" s="57">
        <f>IF($F$34=0,0,F7/$F$34)</f>
        <v/>
      </c>
      <c r="H7" s="30">
        <f>F7/3</f>
        <v/>
      </c>
    </row>
    <row r="8">
      <c r="A8" s="13" t="inlineStr">
        <is>
          <t xml:space="preserve">      Пошиття партії</t>
        </is>
      </c>
      <c r="B8" s="30" t="n">
        <v>101010</v>
      </c>
      <c r="C8" s="30" t="n">
        <v>105125</v>
      </c>
      <c r="D8" s="30" t="n">
        <v>111771</v>
      </c>
      <c r="E8" s="30" t="n">
        <v>44800</v>
      </c>
      <c r="F8" s="30">
        <f>SUM(B8:D8)</f>
        <v/>
      </c>
      <c r="G8" s="57">
        <f>IF($F$34=0,0,F8/$F$34)</f>
        <v/>
      </c>
      <c r="H8" s="30">
        <f>F8/3</f>
        <v/>
      </c>
    </row>
    <row r="9">
      <c r="A9" s="13" t="inlineStr">
        <is>
          <t xml:space="preserve">      тканина</t>
        </is>
      </c>
      <c r="B9" s="30" t="n">
        <v>172630</v>
      </c>
      <c r="C9" s="30" t="n">
        <v>132971</v>
      </c>
      <c r="D9" s="30" t="n">
        <v>12940.2</v>
      </c>
      <c r="E9" s="30" t="n">
        <v>0</v>
      </c>
      <c r="F9" s="30">
        <f>SUM(B9:D9)</f>
        <v/>
      </c>
      <c r="G9" s="57">
        <f>IF($F$34=0,0,F9/$F$34)</f>
        <v/>
      </c>
      <c r="H9" s="30">
        <f>F9/3</f>
        <v/>
      </c>
    </row>
    <row r="10">
      <c r="A10" s="13" t="inlineStr">
        <is>
          <t xml:space="preserve">      фурнітура</t>
        </is>
      </c>
      <c r="B10" s="30" t="n">
        <v>31844.53</v>
      </c>
      <c r="C10" s="30" t="n">
        <v>12227</v>
      </c>
      <c r="D10" s="30" t="n">
        <v>12874</v>
      </c>
      <c r="E10" s="30" t="n">
        <v>0</v>
      </c>
      <c r="F10" s="30">
        <f>SUM(B10:D10)</f>
        <v/>
      </c>
      <c r="G10" s="57">
        <f>IF($F$34=0,0,F10/$F$34)</f>
        <v/>
      </c>
      <c r="H10" s="30">
        <f>F10/3</f>
        <v/>
      </c>
    </row>
    <row r="11">
      <c r="A11" s="58" t="inlineStr">
        <is>
          <t>Фонд зарплати</t>
        </is>
      </c>
      <c r="B11" s="21" t="n">
        <v>60000</v>
      </c>
      <c r="C11" s="21" t="n">
        <v>112840</v>
      </c>
      <c r="D11" s="21" t="n">
        <v>159874</v>
      </c>
      <c r="E11" s="21" t="n">
        <v>30000</v>
      </c>
      <c r="F11" s="27">
        <f>SUM(B11:D11)</f>
        <v/>
      </c>
      <c r="G11" s="22">
        <f>IF($F$34=0,0,F11/$F$34)</f>
        <v/>
      </c>
      <c r="H11" s="21">
        <f>F11/3</f>
        <v/>
      </c>
    </row>
    <row r="12">
      <c r="A12" s="13" t="inlineStr">
        <is>
          <t xml:space="preserve">      ЗП маркетолог</t>
        </is>
      </c>
      <c r="B12" s="30" t="n">
        <v>20000</v>
      </c>
      <c r="C12" s="30" t="n">
        <v>50000</v>
      </c>
      <c r="D12" s="30" t="n">
        <v>50000</v>
      </c>
      <c r="E12" s="30" t="n">
        <v>20000</v>
      </c>
      <c r="F12" s="30">
        <f>SUM(B12:D12)</f>
        <v/>
      </c>
      <c r="G12" s="57">
        <f>IF($F$34=0,0,F12/$F$34)</f>
        <v/>
      </c>
      <c r="H12" s="30">
        <f>F12/3</f>
        <v/>
      </c>
    </row>
    <row r="13">
      <c r="A13" s="13" t="inlineStr">
        <is>
          <t xml:space="preserve">      ЗП менеджер з продажу</t>
        </is>
      </c>
      <c r="B13" s="30" t="n">
        <v>0</v>
      </c>
      <c r="C13" s="30" t="n">
        <v>0</v>
      </c>
      <c r="D13" s="30" t="n">
        <v>26998</v>
      </c>
      <c r="E13" s="30" t="n">
        <v>0</v>
      </c>
      <c r="F13" s="30">
        <f>SUM(B13:D13)</f>
        <v/>
      </c>
      <c r="G13" s="57">
        <f>IF($F$34=0,0,F13/$F$34)</f>
        <v/>
      </c>
      <c r="H13" s="30">
        <f>F13/3</f>
        <v/>
      </c>
    </row>
    <row r="14">
      <c r="A14" s="13" t="inlineStr">
        <is>
          <t xml:space="preserve">      ЗП операційний менеджер</t>
        </is>
      </c>
      <c r="B14" s="30" t="n">
        <v>20000</v>
      </c>
      <c r="C14" s="30" t="n">
        <v>20000</v>
      </c>
      <c r="D14" s="30" t="n">
        <v>40000</v>
      </c>
      <c r="E14" s="30" t="n">
        <v>10000</v>
      </c>
      <c r="F14" s="30">
        <f>SUM(B14:D14)</f>
        <v/>
      </c>
      <c r="G14" s="57">
        <f>IF($F$34=0,0,F14/$F$34)</f>
        <v/>
      </c>
      <c r="H14" s="30">
        <f>F14/3</f>
        <v/>
      </c>
    </row>
    <row r="15">
      <c r="A15" s="13" t="inlineStr">
        <is>
          <t xml:space="preserve">      ЗП СММ</t>
        </is>
      </c>
      <c r="B15" s="30" t="n">
        <v>20000</v>
      </c>
      <c r="C15" s="30" t="n">
        <v>25000</v>
      </c>
      <c r="D15" s="30" t="n">
        <v>42876</v>
      </c>
      <c r="E15" s="30" t="n">
        <v>0</v>
      </c>
      <c r="F15" s="30">
        <f>SUM(B15:D15)</f>
        <v/>
      </c>
      <c r="G15" s="57">
        <f>IF($F$34=0,0,F15/$F$34)</f>
        <v/>
      </c>
      <c r="H15" s="30">
        <f>F15/3</f>
        <v/>
      </c>
    </row>
    <row r="16">
      <c r="A16" s="13" t="inlineStr">
        <is>
          <t xml:space="preserve">      ЗП таргетолог</t>
        </is>
      </c>
      <c r="B16" s="30" t="n">
        <v>0</v>
      </c>
      <c r="C16" s="30" t="n">
        <v>17840</v>
      </c>
      <c r="D16" s="30" t="n">
        <v>0</v>
      </c>
      <c r="E16" s="30" t="n">
        <v>0</v>
      </c>
      <c r="F16" s="30">
        <f>SUM(B16:D16)</f>
        <v/>
      </c>
      <c r="G16" s="57">
        <f>IF($F$34=0,0,F16/$F$34)</f>
        <v/>
      </c>
      <c r="H16" s="30">
        <f>F16/3</f>
        <v/>
      </c>
    </row>
    <row r="17">
      <c r="A17" s="58" t="inlineStr">
        <is>
          <t>Розробка продукту</t>
        </is>
      </c>
      <c r="B17" s="21" t="n">
        <v>48554.9</v>
      </c>
      <c r="C17" s="21" t="n">
        <v>41480</v>
      </c>
      <c r="D17" s="21" t="n">
        <v>112775</v>
      </c>
      <c r="E17" s="21" t="n">
        <v>0</v>
      </c>
      <c r="F17" s="27">
        <f>SUM(B17:D17)</f>
        <v/>
      </c>
      <c r="G17" s="22">
        <f>IF($F$34=0,0,F17/$F$34)</f>
        <v/>
      </c>
      <c r="H17" s="21">
        <f>F17/3</f>
        <v/>
      </c>
    </row>
    <row r="18">
      <c r="A18" s="13" t="inlineStr">
        <is>
          <t xml:space="preserve">      Відшив взірців</t>
        </is>
      </c>
      <c r="B18" s="30" t="n">
        <v>4014.9</v>
      </c>
      <c r="C18" s="30" t="n">
        <v>2500</v>
      </c>
      <c r="D18" s="30" t="n">
        <v>35137</v>
      </c>
      <c r="E18" s="30" t="n">
        <v>0</v>
      </c>
      <c r="F18" s="30">
        <f>SUM(B18:D18)</f>
        <v/>
      </c>
      <c r="G18" s="57">
        <f>IF($F$34=0,0,F18/$F$34)</f>
        <v/>
      </c>
      <c r="H18" s="30">
        <f>F18/3</f>
        <v/>
      </c>
    </row>
    <row r="19">
      <c r="A19" s="13" t="inlineStr">
        <is>
          <t xml:space="preserve">      Ескізи(дизайнер)</t>
        </is>
      </c>
      <c r="B19" s="30" t="n">
        <v>35000</v>
      </c>
      <c r="C19" s="30" t="n">
        <v>35000</v>
      </c>
      <c r="D19" s="30" t="n">
        <v>35000</v>
      </c>
      <c r="E19" s="30" t="n">
        <v>0</v>
      </c>
      <c r="F19" s="30">
        <f>SUM(B19:D19)</f>
        <v/>
      </c>
      <c r="G19" s="57">
        <f>IF($F$34=0,0,F19/$F$34)</f>
        <v/>
      </c>
      <c r="H19" s="30">
        <f>F19/3</f>
        <v/>
      </c>
    </row>
    <row r="20">
      <c r="A20" s="58" t="inlineStr">
        <is>
          <t>Маркетинг</t>
        </is>
      </c>
      <c r="B20" s="21" t="n">
        <v>59000</v>
      </c>
      <c r="C20" s="21" t="n">
        <v>27172.15</v>
      </c>
      <c r="D20" s="21" t="n">
        <v>62415</v>
      </c>
      <c r="E20" s="21" t="n">
        <v>0</v>
      </c>
      <c r="F20" s="27">
        <f>SUM(B20:D20)</f>
        <v/>
      </c>
      <c r="G20" s="22">
        <f>IF($F$34=0,0,F20/$F$34)</f>
        <v/>
      </c>
      <c r="H20" s="21">
        <f>F20/3</f>
        <v/>
      </c>
    </row>
    <row r="21">
      <c r="A21" s="13" t="inlineStr">
        <is>
          <t xml:space="preserve">      Інфлуенсери</t>
        </is>
      </c>
      <c r="B21" s="30" t="n">
        <v>59000</v>
      </c>
      <c r="C21" s="30" t="n">
        <v>7000</v>
      </c>
      <c r="D21" s="30" t="n">
        <v>48000</v>
      </c>
      <c r="E21" s="30" t="n">
        <v>0</v>
      </c>
      <c r="F21" s="30">
        <f>SUM(B21:D21)</f>
        <v/>
      </c>
      <c r="G21" s="57">
        <f>IF($F$34=0,0,F21/$F$34)</f>
        <v/>
      </c>
      <c r="H21" s="30">
        <f>F21/3</f>
        <v/>
      </c>
    </row>
    <row r="22">
      <c r="A22" s="13" t="inlineStr">
        <is>
          <t xml:space="preserve">      Контентмейкінг</t>
        </is>
      </c>
      <c r="B22" s="30" t="n">
        <v>0</v>
      </c>
      <c r="C22" s="30" t="n">
        <v>6906</v>
      </c>
      <c r="D22" s="30" t="n">
        <v>5500</v>
      </c>
      <c r="E22" s="30" t="n">
        <v>0</v>
      </c>
      <c r="F22" s="30">
        <f>SUM(B22:D22)</f>
        <v/>
      </c>
      <c r="G22" s="57">
        <f>IF($F$34=0,0,F22/$F$34)</f>
        <v/>
      </c>
      <c r="H22" s="30">
        <f>F22/3</f>
        <v/>
      </c>
    </row>
    <row r="23">
      <c r="A23" s="13" t="inlineStr">
        <is>
          <t xml:space="preserve">      Таргетинг</t>
        </is>
      </c>
      <c r="B23" s="30" t="n">
        <v>0</v>
      </c>
      <c r="C23" s="30" t="n">
        <v>8000</v>
      </c>
      <c r="D23" s="30" t="n">
        <v>0</v>
      </c>
      <c r="E23" s="30" t="n">
        <v>0</v>
      </c>
      <c r="F23" s="30">
        <f>SUM(B23:D23)</f>
        <v/>
      </c>
      <c r="G23" s="57">
        <f>IF($F$34=0,0,F23/$F$34)</f>
        <v/>
      </c>
      <c r="H23" s="30">
        <f>F23/3</f>
        <v/>
      </c>
    </row>
    <row r="24">
      <c r="A24" s="13" t="inlineStr">
        <is>
          <t xml:space="preserve">      Технічна підтримка сайту</t>
        </is>
      </c>
      <c r="B24" s="30" t="n">
        <v>0</v>
      </c>
      <c r="C24" s="30" t="n">
        <v>666.15</v>
      </c>
      <c r="D24" s="30" t="n">
        <v>8915</v>
      </c>
      <c r="E24" s="30" t="n">
        <v>0</v>
      </c>
      <c r="F24" s="30">
        <f>SUM(B24:D24)</f>
        <v/>
      </c>
      <c r="G24" s="57">
        <f>IF($F$34=0,0,F24/$F$34)</f>
        <v/>
      </c>
      <c r="H24" s="30">
        <f>F24/3</f>
        <v/>
      </c>
    </row>
    <row r="25">
      <c r="A25" s="58" t="inlineStr">
        <is>
          <t>Адміністративні</t>
        </is>
      </c>
      <c r="B25" s="21" t="n">
        <v>19127</v>
      </c>
      <c r="C25" s="21" t="n">
        <v>20999</v>
      </c>
      <c r="D25" s="21" t="n">
        <v>58623.09</v>
      </c>
      <c r="E25" s="21" t="n">
        <v>0</v>
      </c>
      <c r="F25" s="27">
        <f>SUM(B25:D25)</f>
        <v/>
      </c>
      <c r="G25" s="22">
        <f>IF($F$34=0,0,F25/$F$34)</f>
        <v/>
      </c>
      <c r="H25" s="21">
        <f>F25/3</f>
        <v/>
      </c>
    </row>
    <row r="26">
      <c r="A26" s="13" t="inlineStr">
        <is>
          <t xml:space="preserve">      Комунальні</t>
        </is>
      </c>
      <c r="B26" s="30" t="n">
        <v>0</v>
      </c>
      <c r="C26" s="30" t="n">
        <v>0</v>
      </c>
      <c r="D26" s="30" t="n">
        <v>2357.27</v>
      </c>
      <c r="E26" s="30" t="n">
        <v>0</v>
      </c>
      <c r="F26" s="30">
        <f>SUM(B26:D26)</f>
        <v/>
      </c>
      <c r="G26" s="57">
        <f>IF($F$34=0,0,F26/$F$34)</f>
        <v/>
      </c>
      <c r="H26" s="30">
        <f>F26/3</f>
        <v/>
      </c>
    </row>
    <row r="27">
      <c r="A27" s="13" t="inlineStr">
        <is>
          <t xml:space="preserve">      Оренда склад-офіс</t>
        </is>
      </c>
      <c r="B27" s="30" t="n">
        <v>18807</v>
      </c>
      <c r="C27" s="30" t="n">
        <v>0</v>
      </c>
      <c r="D27" s="30" t="n">
        <v>22000</v>
      </c>
      <c r="E27" s="30" t="n">
        <v>0</v>
      </c>
      <c r="F27" s="30">
        <f>SUM(B27:D27)</f>
        <v/>
      </c>
      <c r="G27" s="57">
        <f>IF($F$34=0,0,F27/$F$34)</f>
        <v/>
      </c>
      <c r="H27" s="30">
        <f>F27/3</f>
        <v/>
      </c>
    </row>
    <row r="28">
      <c r="A28" s="13" t="inlineStr">
        <is>
          <t xml:space="preserve">      Офісні витрати (канцтовари..)</t>
        </is>
      </c>
      <c r="B28" s="30" t="n">
        <v>320</v>
      </c>
      <c r="C28" s="30" t="n">
        <v>750</v>
      </c>
      <c r="D28" s="30" t="n">
        <v>5100</v>
      </c>
      <c r="E28" s="30" t="n">
        <v>0</v>
      </c>
      <c r="F28" s="30">
        <f>SUM(B28:D28)</f>
        <v/>
      </c>
      <c r="G28" s="57">
        <f>IF($F$34=0,0,F28/$F$34)</f>
        <v/>
      </c>
      <c r="H28" s="30">
        <f>F28/3</f>
        <v/>
      </c>
    </row>
    <row r="29">
      <c r="A29" s="13" t="inlineStr">
        <is>
          <t xml:space="preserve">      ФОП податки</t>
        </is>
      </c>
      <c r="B29" s="30" t="n">
        <v>0</v>
      </c>
      <c r="C29" s="30" t="n">
        <v>249</v>
      </c>
      <c r="D29" s="30" t="n">
        <v>9165.82</v>
      </c>
      <c r="E29" s="30" t="n">
        <v>0</v>
      </c>
      <c r="F29" s="30">
        <f>SUM(B29:D29)</f>
        <v/>
      </c>
      <c r="G29" s="57">
        <f>IF($F$34=0,0,F29/$F$34)</f>
        <v/>
      </c>
      <c r="H29" s="30">
        <f>F29/3</f>
        <v/>
      </c>
    </row>
    <row r="30">
      <c r="A30" s="5" t="inlineStr">
        <is>
          <t>Логістика   (змінна)</t>
        </is>
      </c>
      <c r="B30" s="21" t="n">
        <v>2747.93</v>
      </c>
      <c r="C30" s="21" t="n">
        <v>4057.7</v>
      </c>
      <c r="D30" s="21" t="n">
        <v>1774.5</v>
      </c>
      <c r="E30" s="21" t="n">
        <v>0</v>
      </c>
      <c r="F30" s="27">
        <f>SUM(B30:D30)</f>
        <v/>
      </c>
      <c r="G30" s="22">
        <f>IF($F$34=0,0,F30/$F$34)</f>
        <v/>
      </c>
      <c r="H30" s="21">
        <f>F30/3</f>
        <v/>
      </c>
    </row>
    <row r="31">
      <c r="A31" s="58" t="inlineStr">
        <is>
          <t>IT</t>
        </is>
      </c>
      <c r="B31" s="21" t="n">
        <v>0</v>
      </c>
      <c r="C31" s="21" t="n">
        <v>1121.08</v>
      </c>
      <c r="D31" s="21" t="n">
        <v>1567.77</v>
      </c>
      <c r="E31" s="21" t="n">
        <v>0</v>
      </c>
      <c r="F31" s="27">
        <f>SUM(B31:D31)</f>
        <v/>
      </c>
      <c r="G31" s="22">
        <f>IF($F$34=0,0,F31/$F$34)</f>
        <v/>
      </c>
      <c r="H31" s="21">
        <f>F31/3</f>
        <v/>
      </c>
    </row>
    <row r="32">
      <c r="A32" s="13" t="inlineStr">
        <is>
          <t xml:space="preserve">      CRM</t>
        </is>
      </c>
      <c r="B32" s="30" t="n">
        <v>0</v>
      </c>
      <c r="C32" s="30" t="n">
        <v>1121.08</v>
      </c>
      <c r="D32" s="30" t="n">
        <v>1567.77</v>
      </c>
      <c r="E32" s="30" t="n">
        <v>0</v>
      </c>
      <c r="F32" s="30">
        <f>SUM(B32:D32)</f>
        <v/>
      </c>
      <c r="G32" s="57">
        <f>IF($F$34=0,0,F32/$F$34)</f>
        <v/>
      </c>
      <c r="H32" s="30">
        <f>F32/3</f>
        <v/>
      </c>
    </row>
    <row r="33">
      <c r="A33" s="5" t="inlineStr">
        <is>
          <t>Без категорії   (змінна)</t>
        </is>
      </c>
      <c r="B33" s="21" t="n">
        <v>569</v>
      </c>
      <c r="C33" s="21" t="n">
        <v>0</v>
      </c>
      <c r="D33" s="21" t="n">
        <v>0</v>
      </c>
      <c r="E33" s="21" t="n">
        <v>0</v>
      </c>
      <c r="F33" s="27">
        <f>SUM(B33:D33)</f>
        <v/>
      </c>
      <c r="G33" s="22">
        <f>IF($F$34=0,0,F33/$F$34)</f>
        <v/>
      </c>
      <c r="H33" s="21">
        <f>F33/3</f>
        <v/>
      </c>
    </row>
    <row r="34">
      <c r="A34" s="23" t="inlineStr">
        <is>
          <t>РАЗОМ ВИТРАТИ</t>
        </is>
      </c>
      <c r="B34" s="24">
        <f>B5+B11+B17+B20+B25+B30+B31+B33</f>
        <v/>
      </c>
      <c r="C34" s="24">
        <f>C5+C11+C17+C20+C25+C30+C31+C33</f>
        <v/>
      </c>
      <c r="D34" s="24">
        <f>D5+D11+D17+D20+D25+D30+D31+D33</f>
        <v/>
      </c>
      <c r="E34" s="24">
        <f>E5+E11+E17+E20+E25+E30+E31+E33</f>
        <v/>
      </c>
      <c r="F34" s="24">
        <f>SUM(B34:D34)</f>
        <v/>
      </c>
      <c r="G34" s="25" t="n">
        <v>1</v>
      </c>
      <c r="H34" s="24">
        <f>F34/3</f>
        <v/>
      </c>
    </row>
    <row r="35">
      <c r="A35" s="23" t="inlineStr">
        <is>
          <t>РАЗОМ НАДХОДЖЕННЯ</t>
        </is>
      </c>
      <c r="B35" s="24" t="n">
        <v>131552.12</v>
      </c>
      <c r="C35" s="24" t="n">
        <v>181089.57</v>
      </c>
      <c r="D35" s="24" t="n">
        <v>201146.62</v>
      </c>
      <c r="E35" s="24" t="n">
        <v>39053.75</v>
      </c>
      <c r="F35" s="24">
        <f>SUM(B35:D35)</f>
        <v/>
      </c>
      <c r="H35" s="24">
        <f>F35/3</f>
        <v/>
      </c>
    </row>
    <row r="36">
      <c r="A36" s="23" t="inlineStr">
        <is>
          <t>БАЛАНС ПЕРІОДУ</t>
        </is>
      </c>
      <c r="B36" s="59">
        <f>B35-B34</f>
        <v/>
      </c>
      <c r="C36" s="59">
        <f>C35-C34</f>
        <v/>
      </c>
      <c r="D36" s="59">
        <f>D35-D34</f>
        <v/>
      </c>
      <c r="E36" s="59">
        <f>E35-E34</f>
        <v/>
      </c>
      <c r="F36" s="59">
        <f>F35-F34</f>
        <v/>
      </c>
      <c r="H36" s="59">
        <f>F36/3</f>
        <v/>
      </c>
    </row>
    <row r="38">
      <c r="A38" s="3" t="inlineStr">
        <is>
          <t>Поділ витрат для розрахунку беззбитковості</t>
        </is>
      </c>
    </row>
    <row r="39" ht="32" customHeight="1">
      <c r="A39" s="4" t="inlineStr">
        <is>
          <t>Блок</t>
        </is>
      </c>
      <c r="B39" s="4" t="inlineStr">
        <is>
          <t>Разом 05–07, грн</t>
        </is>
      </c>
      <c r="C39" s="4" t="inlineStr">
        <is>
          <t>У місяць, грн</t>
        </is>
      </c>
      <c r="D39" s="4" t="inlineStr">
        <is>
          <t>Що це</t>
        </is>
      </c>
      <c r="E39" s="4" t="inlineStr"/>
      <c r="F39" s="4" t="inlineStr"/>
      <c r="G39" s="4" t="inlineStr"/>
      <c r="H39" s="4" t="inlineStr"/>
    </row>
    <row r="40">
      <c r="A40" s="58" t="inlineStr">
        <is>
          <t>Fixed OPEX — постійні витрати</t>
        </is>
      </c>
      <c r="B40" s="27">
        <f>F11+F25+F31+F20+F17</f>
        <v/>
      </c>
      <c r="C40" s="27">
        <f>B40/3</f>
        <v/>
      </c>
      <c r="D40" s="13" t="inlineStr">
        <is>
          <t>ФОП + адміністративні + IT + маркетинг + розробка продукту</t>
        </is>
      </c>
    </row>
    <row r="41">
      <c r="A41" s="13" t="inlineStr">
        <is>
          <t xml:space="preserve">   з них Розробка продукту</t>
        </is>
      </c>
      <c r="B41" s="30">
        <f>F17</f>
        <v/>
      </c>
      <c r="C41" s="30">
        <f>B41/3</f>
        <v/>
      </c>
      <c r="D41" s="13" t="inlineStr">
        <is>
          <t>Ескізи + відшив взірців. Може бути інвестицією в колекцію, а не OPEX</t>
        </is>
      </c>
    </row>
    <row r="42">
      <c r="A42" s="5" t="inlineStr">
        <is>
          <t>Виробничі витрати (собівартість)</t>
        </is>
      </c>
      <c r="B42" s="27">
        <f>F5</f>
        <v/>
      </c>
      <c r="C42" s="27">
        <f>B42/3</f>
        <v/>
      </c>
      <c r="D42" s="13" t="inlineStr">
        <is>
          <t>Тканина, пошиття, фурнітура. Частина стала товаром на складі, а не витратою періоду</t>
        </is>
      </c>
    </row>
    <row r="43">
      <c r="A43" s="5" t="inlineStr">
        <is>
          <t>Змінні витрати продажу</t>
        </is>
      </c>
      <c r="B43" s="27">
        <f>F30</f>
        <v/>
      </c>
      <c r="C43" s="27">
        <f>B43/3</f>
        <v/>
      </c>
      <c r="D43" s="13" t="inlineStr">
        <is>
          <t>Логістика. Росте разом із продажами</t>
        </is>
      </c>
    </row>
    <row r="45" ht="39" customHeight="1">
      <c r="A45" s="18" t="inlineStr">
        <is>
          <t>Головне обмеження: витрати на виробництво ≠ собівартість проданого. За травень–липень на тканину  пошиття і фурнітуру пішло 699 022 грн  а собівартість фактично проданого за весь період — 297 282 грн. Різниця осіла в залишках і незавершеному виробництві.</t>
        </is>
      </c>
      <c r="B45" s="19" t="n"/>
      <c r="C45" s="19" t="n"/>
      <c r="D45" s="19" t="n"/>
      <c r="E45" s="19" t="n"/>
      <c r="F45" s="19" t="n"/>
      <c r="G45" s="19" t="n"/>
      <c r="H45" s="20" t="n"/>
    </row>
  </sheetData>
  <mergeCells count="4">
    <mergeCell ref="A45:H45"/>
    <mergeCell ref="A38:H38"/>
    <mergeCell ref="A2:H2"/>
    <mergeCell ref="A1:H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25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6" customWidth="1" min="3" max="3"/>
    <col width="16" customWidth="1" min="4" max="4"/>
    <col width="16" customWidth="1" min="5" max="5"/>
    <col width="14" customWidth="1" min="6" max="6"/>
    <col width="40" customWidth="1" min="7" max="7"/>
  </cols>
  <sheetData>
    <row r="1" ht="24" customHeight="1">
      <c r="A1" s="1" t="inlineStr">
        <is>
          <t>Break-even — точка беззбитковості</t>
        </is>
      </c>
    </row>
    <row r="2" ht="42" customHeight="1">
      <c r="A2" s="2" t="inlineStr">
        <is>
          <t>Кілька варіантів: за структурою витрат (з розробкою продукту і без) та за міксом каналів. Contribution margin враховує податок, повернення і комісії з аркуша «Параметри».</t>
        </is>
      </c>
    </row>
    <row r="4">
      <c r="A4" s="3" t="inlineStr">
        <is>
          <t>Contribution margin — скільки лишається з гривні виручки</t>
        </is>
      </c>
    </row>
    <row r="5" ht="32" customHeight="1">
      <c r="A5" s="4" t="inlineStr">
        <is>
          <t>Показник</t>
        </is>
      </c>
      <c r="B5" s="4" t="inlineStr">
        <is>
          <t>Онлайн</t>
        </is>
      </c>
      <c r="C5" s="4" t="inlineStr">
        <is>
          <t>Шоурум</t>
        </is>
      </c>
      <c r="D5" s="4" t="inlineStr">
        <is>
          <t>Опт / B2B</t>
        </is>
      </c>
      <c r="E5" s="4" t="inlineStr"/>
      <c r="F5" s="4" t="inlineStr"/>
      <c r="G5" s="4" t="inlineStr">
        <is>
          <t>Як рахується</t>
        </is>
      </c>
    </row>
    <row r="6">
      <c r="A6" s="14" t="inlineStr">
        <is>
          <t>Валова маржа каналу, %</t>
        </is>
      </c>
      <c r="B6" s="48">
        <f>'SKU Economics'!$E$15</f>
        <v/>
      </c>
      <c r="C6" s="48">
        <f>'SKU Economics'!$I$15</f>
        <v/>
      </c>
      <c r="D6" s="48">
        <f>'SKU Economics'!$L$15</f>
        <v/>
      </c>
      <c r="G6" s="13" t="inlineStr">
        <is>
          <t>Середньозважене по фактичних продажах, аркуш SKU Economics</t>
        </is>
      </c>
    </row>
    <row r="7">
      <c r="A7" s="14" t="inlineStr">
        <is>
          <t>Мінус податок з обороту</t>
        </is>
      </c>
      <c r="B7" s="60">
        <f>-Параметри!$B$7</f>
        <v/>
      </c>
      <c r="C7" s="60">
        <f>-Параметри!$B$7</f>
        <v/>
      </c>
      <c r="D7" s="60">
        <f>-Параметри!$B$7</f>
        <v/>
      </c>
    </row>
    <row r="8">
      <c r="A8" s="14" t="inlineStr">
        <is>
          <t>Мінус повернення і невикупи</t>
        </is>
      </c>
      <c r="B8" s="60">
        <f>-Параметри!$B$9*B6</f>
        <v/>
      </c>
      <c r="C8" s="60">
        <f>-Параметри!$B$9*C6</f>
        <v/>
      </c>
      <c r="D8" s="60">
        <f>-Параметри!$B$9*D6</f>
        <v/>
      </c>
    </row>
    <row r="9">
      <c r="A9" s="14" t="inlineStr">
        <is>
          <t>Мінус комісії оплати і доставки</t>
        </is>
      </c>
      <c r="B9" s="60">
        <f>IF(Параметри!$B$22=0,0,-Параметри!$B$8/Параметри!$B$22)</f>
        <v/>
      </c>
      <c r="C9" s="60">
        <f>IF(Параметри!$B$22=0,0,-Параметри!$B$8/Параметри!$B$22)</f>
        <v/>
      </c>
      <c r="D9" s="60">
        <f>IF(Параметри!$B$22=0,0,-Параметри!$B$8/Параметри!$B$22)</f>
        <v/>
      </c>
    </row>
    <row r="10">
      <c r="A10" s="23" t="inlineStr">
        <is>
          <t>CONTRIBUTION MARGIN</t>
        </is>
      </c>
      <c r="B10" s="49">
        <f>B6+B7+B8+B9</f>
        <v/>
      </c>
      <c r="C10" s="49">
        <f>C6+C7+C8+C9</f>
        <v/>
      </c>
      <c r="D10" s="49">
        <f>D6+D7+D8+D9</f>
        <v/>
      </c>
      <c r="G10" s="13" t="inlineStr">
        <is>
          <t>Скільки з кожної гривні виручки лишається на покриття постійних витрат</t>
        </is>
      </c>
    </row>
    <row r="12">
      <c r="A12" s="3" t="inlineStr">
        <is>
          <t>Варіанти точки беззбитковості</t>
        </is>
      </c>
    </row>
    <row r="13" ht="32" customHeight="1">
      <c r="A13" s="4" t="inlineStr">
        <is>
          <t>Варіант</t>
        </is>
      </c>
      <c r="B13" s="4" t="inlineStr">
        <is>
          <t>Contribution margin</t>
        </is>
      </c>
      <c r="C13" s="4" t="inlineStr">
        <is>
          <t>Беззбиткова виручка, грн/міс</t>
        </is>
      </c>
      <c r="D13" s="4" t="inlineStr">
        <is>
          <t>Замовлень/міс</t>
        </is>
      </c>
      <c r="E13" s="4" t="inlineStr">
        <is>
          <t>Одиниць/міс</t>
        </is>
      </c>
      <c r="F13" s="4" t="inlineStr">
        <is>
          <t>Постійні витрати, грн/міс</t>
        </is>
      </c>
      <c r="G13" s="4" t="inlineStr">
        <is>
          <t>Коментар</t>
        </is>
      </c>
    </row>
    <row r="14">
      <c r="A14" s="38" t="inlineStr">
        <is>
          <t>A · усі постійні витрати · 100% онлайн</t>
        </is>
      </c>
      <c r="B14" s="60">
        <f>1.0*B10+0.0*C10+0.0*D10</f>
        <v/>
      </c>
      <c r="C14" s="27">
        <f>IF(B14&lt;=0,"канал збитковий",F14/B14)</f>
        <v/>
      </c>
      <c r="D14" s="61">
        <f>IF(OR(B14&lt;=0,Параметри!$B$22=0),"",C14/Параметри!$B$22)</f>
        <v/>
      </c>
      <c r="E14" s="61">
        <f>IF(OR(B14&lt;=0,Параметри!$B$25=0),"",C14/Параметри!$B$25)</f>
        <v/>
      </c>
      <c r="F14" s="21">
        <f>Параметри!$B$20</f>
        <v/>
      </c>
      <c r="G14" s="13" t="inlineStr">
        <is>
          <t>Базовий варіант: як бренд працює зараз</t>
        </is>
      </c>
    </row>
    <row r="15">
      <c r="A15" s="14" t="inlineStr">
        <is>
          <t>A · усі постійні витрати · 70% онлайн + 25% шоурум + 5% опт</t>
        </is>
      </c>
      <c r="B15" s="60">
        <f>0.7*B10+0.25*C10+0.05*D10</f>
        <v/>
      </c>
      <c r="C15" s="27">
        <f>IF(B15&lt;=0,"канал збитковий",F15/B15)</f>
        <v/>
      </c>
      <c r="D15" s="61">
        <f>IF(OR(B15&lt;=0,Параметри!$B$22=0),"",C15/Параметри!$B$22)</f>
        <v/>
      </c>
      <c r="E15" s="61">
        <f>IF(OR(B15&lt;=0,Параметри!$B$25=0),"",C15/Параметри!$B$25)</f>
        <v/>
      </c>
      <c r="F15" s="21">
        <f>Параметри!$B$20</f>
        <v/>
      </c>
    </row>
    <row r="16">
      <c r="A16" s="14" t="inlineStr">
        <is>
          <t>A · усі постійні витрати · 55% онлайн + 30% шоурум + 15% опт</t>
        </is>
      </c>
      <c r="B16" s="60">
        <f>0.55*B10+0.3*C10+0.15*D10</f>
        <v/>
      </c>
      <c r="C16" s="27">
        <f>IF(B16&lt;=0,"канал збитковий",F16/B16)</f>
        <v/>
      </c>
      <c r="D16" s="61">
        <f>IF(OR(B16&lt;=0,Параметри!$B$22=0),"",C16/Параметри!$B$22)</f>
        <v/>
      </c>
      <c r="E16" s="61">
        <f>IF(OR(B16&lt;=0,Параметри!$B$25=0),"",C16/Параметри!$B$25)</f>
        <v/>
      </c>
      <c r="F16" s="21">
        <f>Параметри!$B$20</f>
        <v/>
      </c>
    </row>
    <row r="17">
      <c r="A17" s="14" t="inlineStr">
        <is>
          <t>B · без розробки продукту · 100% онлайн</t>
        </is>
      </c>
      <c r="B17" s="60">
        <f>1.0*B10+0.0*C10+0.0*D10</f>
        <v/>
      </c>
      <c r="C17" s="27">
        <f>IF(B17&lt;=0,"канал збитковий",F17/B17)</f>
        <v/>
      </c>
      <c r="D17" s="61">
        <f>IF(OR(B17&lt;=0,Параметри!$B$22=0),"",C17/Параметри!$B$22)</f>
        <v/>
      </c>
      <c r="E17" s="61">
        <f>IF(OR(B17&lt;=0,Параметри!$B$25=0),"",C17/Параметри!$B$25)</f>
        <v/>
      </c>
      <c r="F17" s="21">
        <f>Параметри!$B$20-Параметри!$B$21</f>
        <v/>
      </c>
    </row>
    <row r="18">
      <c r="A18" s="14" t="inlineStr">
        <is>
          <t>B · без розробки продукту · 70% онлайн + 25% шоурум + 5% опт</t>
        </is>
      </c>
      <c r="B18" s="60">
        <f>0.7*B10+0.25*C10+0.05*D10</f>
        <v/>
      </c>
      <c r="C18" s="27">
        <f>IF(B18&lt;=0,"канал збитковий",F18/B18)</f>
        <v/>
      </c>
      <c r="D18" s="61">
        <f>IF(OR(B18&lt;=0,Параметри!$B$22=0),"",C18/Параметри!$B$22)</f>
        <v/>
      </c>
      <c r="E18" s="61">
        <f>IF(OR(B18&lt;=0,Параметри!$B$25=0),"",C18/Параметри!$B$25)</f>
        <v/>
      </c>
      <c r="F18" s="21">
        <f>Параметри!$B$20-Параметри!$B$21</f>
        <v/>
      </c>
    </row>
    <row r="19">
      <c r="A19" s="14" t="inlineStr">
        <is>
          <t>B · без розробки продукту · 55% онлайн + 30% шоурум + 15% опт</t>
        </is>
      </c>
      <c r="B19" s="60">
        <f>0.55*B10+0.3*C10+0.15*D10</f>
        <v/>
      </c>
      <c r="C19" s="27">
        <f>IF(B19&lt;=0,"канал збитковий",F19/B19)</f>
        <v/>
      </c>
      <c r="D19" s="61">
        <f>IF(OR(B19&lt;=0,Параметри!$B$22=0),"",C19/Параметри!$B$22)</f>
        <v/>
      </c>
      <c r="E19" s="61">
        <f>IF(OR(B19&lt;=0,Параметри!$B$25=0),"",C19/Параметри!$B$25)</f>
        <v/>
      </c>
      <c r="F19" s="21">
        <f>Параметри!$B$20-Параметри!$B$21</f>
        <v/>
      </c>
    </row>
    <row r="21" ht="39" customHeight="1">
      <c r="A21" s="33" t="inlineStr">
        <is>
          <t>Останній місяць у вигрузці — Липень: 13 замовлень на 334 010 грн. Порівняйте з базовим варіантом вище — різниця і є те  що треба закрити. Важливо: березень–липень це до-стартовий період  старт продажів за планом — вересень 2026.</t>
        </is>
      </c>
      <c r="B21" s="19" t="n"/>
      <c r="C21" s="19" t="n"/>
      <c r="D21" s="19" t="n"/>
      <c r="E21" s="19" t="n"/>
      <c r="F21" s="19" t="n"/>
      <c r="G21" s="20" t="n"/>
    </row>
    <row r="23" ht="39" customHeight="1">
      <c r="A23" s="28" t="inlineStr">
        <is>
          <t>Колонки «Замовлень/міс» і «Одиниць/міс» тут рахуються за роздрібним середнім чеком. Для міксів із оптом це наближення: оптова ціна нижча, тому штук на ту саму виручку потрібно більше. Точний розподіл по каналах — на аркуші Sales Plan.</t>
        </is>
      </c>
      <c r="B23" s="19" t="n"/>
      <c r="C23" s="19" t="n"/>
      <c r="D23" s="19" t="n"/>
      <c r="E23" s="19" t="n"/>
      <c r="F23" s="19" t="n"/>
      <c r="G23" s="20" t="n"/>
    </row>
    <row r="25" ht="52" customHeight="1">
      <c r="A25" s="26" t="inlineStr">
        <is>
          <t>Ще один важіль, окрім обсягу: собівартість. На аркуші «Собівартість» видно, що різниця між підрядниками на фактичному обсязі — приблизно чверть усієї собівартості. Перехід на дешевшого підрядника (за умови тієї ж якості) опускає точку беззбитковості без жодного додаткового продажу.</t>
        </is>
      </c>
      <c r="B25" s="19" t="n"/>
      <c r="C25" s="19" t="n"/>
      <c r="D25" s="19" t="n"/>
      <c r="E25" s="19" t="n"/>
      <c r="F25" s="19" t="n"/>
      <c r="G25" s="20" t="n"/>
    </row>
  </sheetData>
  <mergeCells count="7">
    <mergeCell ref="A1:G1"/>
    <mergeCell ref="A21:G21"/>
    <mergeCell ref="A12:G12"/>
    <mergeCell ref="A4:G4"/>
    <mergeCell ref="A2:G2"/>
    <mergeCell ref="A25:G25"/>
    <mergeCell ref="A23:G2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8" customWidth="1" min="2" max="2"/>
    <col width="16" customWidth="1" min="3" max="3"/>
    <col width="16" customWidth="1" min="4" max="4"/>
    <col width="12" customWidth="1" min="5" max="5"/>
    <col width="50" customWidth="1" min="6" max="6"/>
  </cols>
  <sheetData>
    <row r="1" ht="24" customHeight="1">
      <c r="A1" s="1" t="inlineStr">
        <is>
          <t>Юніт-економіка одного замовлення — головна перевірка</t>
        </is>
      </c>
    </row>
    <row r="2" ht="42" customHeight="1">
      <c r="A2" s="2" t="inlineStr">
        <is>
          <t>Аркуш Break-even рахує маржинальність товару. Цей аркуш рахує економіку ЗАМОВЛЕННЯ: скільки лишається після того, як заплачено за залучення покупця і за доставку. Різниця принципова — саме тут видно, чи бізнес узагалі сходиться.</t>
        </is>
      </c>
    </row>
    <row r="4" ht="32" customHeight="1">
      <c r="A4" s="4" t="inlineStr">
        <is>
          <t>Показник</t>
        </is>
      </c>
      <c r="B4" s="4" t="inlineStr">
        <is>
          <t>На одне замовлення, грн</t>
        </is>
      </c>
      <c r="C4" s="4" t="inlineStr"/>
      <c r="D4" s="4" t="inlineStr"/>
      <c r="E4" s="4" t="inlineStr"/>
      <c r="F4" s="4" t="inlineStr">
        <is>
          <t>Пояснення</t>
        </is>
      </c>
    </row>
    <row r="5">
      <c r="A5" s="5" t="inlineStr">
        <is>
          <t>Середній чек (Net, оплачені замовлення)</t>
        </is>
      </c>
      <c r="B5" s="27">
        <f>Параметри!$B$22</f>
        <v/>
      </c>
    </row>
    <row r="6">
      <c r="A6" s="14" t="inlineStr">
        <is>
          <t>мінус собівартість товару</t>
        </is>
      </c>
      <c r="B6" s="21">
        <f>-B5*(1-Параметри!$B$24)</f>
        <v/>
      </c>
      <c r="F6" s="13" t="inlineStr">
        <is>
          <t>Валова маржа з аркуша SKU Economics</t>
        </is>
      </c>
    </row>
    <row r="7">
      <c r="A7" s="14" t="inlineStr">
        <is>
          <t>мінус податок з обороту</t>
        </is>
      </c>
      <c r="B7" s="21">
        <f>-B5*Параметри!$B$7</f>
        <v/>
      </c>
    </row>
    <row r="8">
      <c r="A8" s="58" t="inlineStr">
        <is>
          <t>ВАЛОВИЙ ПРИБУТОК З ЗАМОВЛЕННЯ</t>
        </is>
      </c>
      <c r="B8" s="6">
        <f>B5+B6+B7</f>
        <v/>
      </c>
    </row>
    <row r="9">
      <c r="A9" s="14" t="inlineStr">
        <is>
          <t>мінус вартість залучення (CAC)</t>
        </is>
      </c>
      <c r="B9" s="36">
        <f>-IF(Параметри!$B$15=1,Параметри!$B$14,0)</f>
        <v/>
      </c>
      <c r="F9" s="13" t="inlineStr">
        <is>
          <t>На одне оплачене замовлення припадає 1,6 невдалих — їх залучення теж оплачене</t>
        </is>
      </c>
    </row>
    <row r="10">
      <c r="A10" s="14" t="inlineStr">
        <is>
          <t>мінус логістика (разом із невдалими відправленнями)</t>
        </is>
      </c>
      <c r="B10" s="36">
        <f>-Параметри!$B$16</f>
        <v/>
      </c>
    </row>
    <row r="11">
      <c r="A11" s="23" t="inlineStr">
        <is>
          <t>ВНЕСОК З ОДНОГО ЗАМОВЛЕННЯ</t>
        </is>
      </c>
      <c r="B11" s="24">
        <f>B8+B9+B10</f>
        <v/>
      </c>
      <c r="F11" s="13" t="inlineStr">
        <is>
          <t>Стільки лишається на покриття оренди, зарплат і решти постійних витрат</t>
        </is>
      </c>
    </row>
    <row r="13">
      <c r="A13" s="3" t="inlineStr">
        <is>
          <t>Скільки замовлень треба, щоб вийти в нуль</t>
        </is>
      </c>
    </row>
    <row r="14" ht="32" customHeight="1">
      <c r="A14" s="4" t="inlineStr">
        <is>
          <t>Показник</t>
        </is>
      </c>
      <c r="B14" s="4" t="inlineStr">
        <is>
          <t>Значення</t>
        </is>
      </c>
      <c r="C14" s="4" t="inlineStr"/>
      <c r="D14" s="4" t="inlineStr"/>
      <c r="E14" s="4" t="inlineStr"/>
      <c r="F14" s="4" t="inlineStr">
        <is>
          <t>Пояснення</t>
        </is>
      </c>
    </row>
    <row r="15">
      <c r="A15" s="5" t="inlineStr">
        <is>
          <t>Постійні витрати без маркетингу, грн/міс</t>
        </is>
      </c>
      <c r="B15" s="27">
        <f>Параметри!$B$27-IF(Параметри!$B$15=1,'Cash Flow'!$C$20,0)</f>
        <v/>
      </c>
      <c r="F15" s="13" t="inlineStr">
        <is>
          <t>Маркетинг переїхав у змінні витрати, тому тут його немає</t>
        </is>
      </c>
    </row>
    <row r="16">
      <c r="A16" s="62" t="inlineStr">
        <is>
          <t>БЕЗЗБИТКОВІСТЬ, оплачених замовлень на місяць</t>
        </is>
      </c>
      <c r="B16" s="63">
        <f>IF(B11&lt;=0,"недосяжно за поточної економіки",B15/B11)</f>
        <v/>
      </c>
    </row>
    <row r="17">
      <c r="A17" s="14" t="inlineStr">
        <is>
          <t>Для порівняння: факт, найкращий місяць</t>
        </is>
      </c>
      <c r="B17" s="21" t="n">
        <v>6</v>
      </c>
      <c r="F17" s="13" t="inlineStr">
        <is>
          <t>Квітень 2026 — 6 оплачених замовлень. Липень — 5</t>
        </is>
      </c>
    </row>
    <row r="18">
      <c r="A18" s="14" t="inlineStr">
        <is>
          <t>Для порівняння: беззбитковість з аркуша Break-even</t>
        </is>
      </c>
      <c r="B18" s="64">
        <f>'Break-even'!$D$14</f>
        <v/>
      </c>
      <c r="F18" s="13" t="inlineStr">
        <is>
          <t>Там маркетинг сидить у постійних витратах і не росте з обсягом — тому цифра нижча</t>
        </is>
      </c>
    </row>
    <row r="20">
      <c r="A20" s="3" t="inlineStr">
        <is>
          <t>Що станеться, якщо полагодити економіку</t>
        </is>
      </c>
    </row>
    <row r="21" ht="32" customHeight="1">
      <c r="A21" s="4" t="inlineStr">
        <is>
          <t>Сценарій</t>
        </is>
      </c>
      <c r="B21" s="4" t="inlineStr">
        <is>
          <t>CAC, грн</t>
        </is>
      </c>
      <c r="C21" s="4" t="inlineStr">
        <is>
          <t>Чек, грн</t>
        </is>
      </c>
      <c r="D21" s="4" t="inlineStr">
        <is>
          <t>Внесок із замовлення</t>
        </is>
      </c>
      <c r="E21" s="4" t="inlineStr">
        <is>
          <t>Замовлень/міс до нуля</t>
        </is>
      </c>
      <c r="F21" s="4" t="inlineStr">
        <is>
          <t>Що для цього треба</t>
        </is>
      </c>
    </row>
    <row r="22">
      <c r="A22" s="14" t="inlineStr">
        <is>
          <t>Як зараз</t>
        </is>
      </c>
      <c r="B22" s="21">
        <f>Параметри!$B$14</f>
        <v/>
      </c>
      <c r="C22" s="21">
        <f>Параметри!$B$22</f>
        <v/>
      </c>
      <c r="D22" s="27">
        <f>C22*(1-(1-Параметри!$B$24)-Параметри!$B$7)-B22-Параметри!$B$16</f>
        <v/>
      </c>
      <c r="E22" s="65">
        <f>IF(D22&lt;=0,"недосяжно",$B$15/D22)</f>
        <v/>
      </c>
      <c r="F22" s="7" t="inlineStr">
        <is>
          <t>нічого не міняти</t>
        </is>
      </c>
    </row>
    <row r="23">
      <c r="A23" s="14" t="inlineStr">
        <is>
          <t>Повернення 43% → 15%</t>
        </is>
      </c>
      <c r="B23" s="21">
        <f>7665</f>
        <v/>
      </c>
      <c r="C23" s="21">
        <f>Параметри!$B$22</f>
        <v/>
      </c>
      <c r="D23" s="27">
        <f>C23*(1-(1-Параметри!$B$24)-Параметри!$B$7)-B23-Параметри!$B$16</f>
        <v/>
      </c>
      <c r="E23" s="65">
        <f>IF(D23&lt;=0,"недосяжно",$B$15/D23)</f>
        <v/>
      </c>
      <c r="F23" s="7" t="inlineStr">
        <is>
          <t>розібрати причини 17 невдалих замовлень, ввести передоплату на пошиття під замовлення</t>
        </is>
      </c>
    </row>
    <row r="24">
      <c r="A24" s="14" t="inlineStr">
        <is>
          <t>Повернення 15% + комплекти піднімають чек на 20%</t>
        </is>
      </c>
      <c r="B24" s="21">
        <f>7665</f>
        <v/>
      </c>
      <c r="C24" s="21">
        <f>Параметри!$B$22*1.2</f>
        <v/>
      </c>
      <c r="D24" s="27">
        <f>C24*(1-(1-Параметри!$B$24)-Параметри!$B$7)-B24-Параметри!$B$16</f>
        <v/>
      </c>
      <c r="E24" s="65">
        <f>IF(D24&lt;=0,"недосяжно",$B$15/D24)</f>
        <v/>
      </c>
      <c r="F24" s="7" t="inlineStr">
        <is>
          <t>кафтан продавати образом, а не окремо: зараз у комплекті лише 11%</t>
        </is>
      </c>
    </row>
    <row r="25">
      <c r="A25" s="14" t="inlineStr">
        <is>
          <t>Те саме + атрибуція зрізає CAC ще на чверть</t>
        </is>
      </c>
      <c r="B25" s="21">
        <f>5750</f>
        <v/>
      </c>
      <c r="C25" s="21">
        <f>Параметри!$B$22*1.2</f>
        <v/>
      </c>
      <c r="D25" s="27">
        <f>C25*(1-(1-Параметри!$B$24)-Параметри!$B$7)-B25-Параметри!$B$16</f>
        <v/>
      </c>
      <c r="E25" s="65">
        <f>IF(D25&lt;=0,"недосяжно",$B$15/D25)</f>
        <v/>
      </c>
      <c r="F25" s="7" t="inlineStr">
        <is>
          <t>промокоди й персональні лінки інфлюенсерам — зараз 77% бюджету наосліп</t>
        </is>
      </c>
    </row>
    <row r="27" ht="78" customHeight="1">
      <c r="A27" s="18" t="inlineStr">
        <is>
          <t>Як це читати. Перший рядок — сьогоднішня реальність: щоб покрити постійні витрати при нинішній вартості залучення, треба близько 200 оплачених замовлень на місяць. Ніколи не було більше шести. Це не «трохи недотягуємо» — за поточної економіки бізнес не сходиться в принципі. Але три наступні рядки показують, що вихід не в обсязі, а в економіці: якщо збити повернення й підняти чек комплектами, планка падає приблизно до 30 замовлень на місяць. Це вже досяжна ціль.</t>
        </is>
      </c>
      <c r="B27" s="19" t="n"/>
      <c r="C27" s="19" t="n"/>
      <c r="D27" s="19" t="n"/>
      <c r="E27" s="19" t="n"/>
      <c r="F27" s="20" t="n"/>
    </row>
    <row r="29" ht="78" customHeight="1">
      <c r="A29" s="28" t="inlineStr">
        <is>
          <t>Чому цей аркуш суперечить аркушу Break-even. Там маркетинг лежить у постійних витратах — модель мовчки припускає, що можна наростити продажі вчетверо, не витративши на це жодної додаткової гривні. Тут маркетинг рахується на кожне замовлення, як воно й відбувається насправді. Якщо треба порівняти обидва погляди — поставте «Маркетинг як змінна витрата» = 0 у Параметрах, і цей аркуш зійдеться з Break-even.</t>
        </is>
      </c>
      <c r="B29" s="19" t="n"/>
      <c r="C29" s="19" t="n"/>
      <c r="D29" s="19" t="n"/>
      <c r="E29" s="19" t="n"/>
      <c r="F29" s="20" t="n"/>
    </row>
    <row r="31" ht="39" customHeight="1">
      <c r="A31" s="33" t="inlineStr">
        <is>
          <t>Обмеження: CAC 11 430 порахований на 13 оплачених замовлень за травень–липень. База маленька, і при масштабуванні CAC зазвичай росте, а не падає. Тому 200 — це не прогноз, а індикатор: за поточної воронки обсяг не рятує.</t>
        </is>
      </c>
      <c r="B31" s="19" t="n"/>
      <c r="C31" s="19" t="n"/>
      <c r="D31" s="19" t="n"/>
      <c r="E31" s="19" t="n"/>
      <c r="F31" s="20" t="n"/>
    </row>
  </sheetData>
  <mergeCells count="7">
    <mergeCell ref="A2:F2"/>
    <mergeCell ref="A13:F13"/>
    <mergeCell ref="A1:F1"/>
    <mergeCell ref="A27:F27"/>
    <mergeCell ref="A31:F31"/>
    <mergeCell ref="A20:F20"/>
    <mergeCell ref="A29:F29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G46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7" customWidth="1" min="2" max="2"/>
    <col width="17" customWidth="1" min="3" max="3"/>
    <col width="17" customWidth="1" min="4" max="4"/>
    <col width="12" customWidth="1" min="5" max="5"/>
    <col width="46" customWidth="1" min="6" max="6"/>
  </cols>
  <sheetData>
    <row r="1" ht="24" customHeight="1">
      <c r="A1" s="1" t="inlineStr">
        <is>
          <t>Sales Plan — план продажів на 3 місяці</t>
        </is>
      </c>
    </row>
    <row r="2" ht="42" customHeight="1">
      <c r="A2" s="2" t="inlineStr">
        <is>
          <t>План будується від ОБСЯГУ, а не від множника до беззбитковості. Ви задаєте, скільки оплачених замовлень бренд реально витягне за місяць, — модель показує виручку, прибуток і чи вистачить товару. Minimum рахується сам: це стільки замовлень, скільки треба, щоб вийти в нуль за реальною юніт-економікою (з рекламою у змінних витратах).</t>
        </is>
      </c>
    </row>
    <row r="3"/>
    <row r="4" ht="32" customHeight="1">
      <c r="A4" s="4" t="inlineStr">
        <is>
          <t>Показник</t>
        </is>
      </c>
      <c r="B4" s="4" t="inlineStr">
        <is>
          <t>Minimum / break-even</t>
        </is>
      </c>
      <c r="C4" s="4" t="inlineStr">
        <is>
          <t>Base plan</t>
        </is>
      </c>
      <c r="D4" s="4" t="inlineStr">
        <is>
          <t>Stretch plan</t>
        </is>
      </c>
      <c r="E4" s="4" t="inlineStr"/>
      <c r="F4" s="4" t="inlineStr">
        <is>
          <t>Коментар</t>
        </is>
      </c>
    </row>
    <row r="5">
      <c r="A5" s="14" t="inlineStr">
        <is>
          <t>Внесок з одного оплаченого замовлення, грн</t>
        </is>
      </c>
      <c r="B5" s="29">
        <f>IFERROR('Юніт-економіка'!$B$11,"")</f>
        <v/>
      </c>
      <c r="C5" s="29">
        <f>IFERROR('Юніт-економіка'!$B$11,"")</f>
        <v/>
      </c>
      <c r="D5" s="29">
        <f>IFERROR('Юніт-економіка'!$B$11,"")</f>
        <v/>
      </c>
      <c r="F5" s="13" t="inlineStr">
        <is>
          <t>З аркуша «Юніт-економіка»: чек мінус товар, податок, реклама і доставка</t>
        </is>
      </c>
    </row>
    <row r="6">
      <c r="A6" s="23" t="inlineStr">
        <is>
          <t>ОПЛАЧЕНИХ ЗАМОВЛЕНЬ / МІСЯЦЬ</t>
        </is>
      </c>
      <c r="B6" s="66">
        <f>IF(B5&lt;=Параметри!$B$22*0.15,"недосяжно — спершу лагодити юніт-економіку",'Юніт-економіка'!$B$15/B5)</f>
        <v/>
      </c>
      <c r="C6" s="67" t="inlineStr">
        <is>
          <t>30</t>
        </is>
      </c>
      <c r="D6" s="67" t="inlineStr">
        <is>
          <t>45</t>
        </is>
      </c>
      <c r="F6" s="13" t="inlineStr">
        <is>
          <t>Minimum рахується сам. Base і Stretch задає власниця — жовті клітинки</t>
        </is>
      </c>
    </row>
    <row r="7">
      <c r="A7" s="5" t="inlineStr">
        <is>
          <t>Одиниць / місяць</t>
        </is>
      </c>
      <c r="B7" s="66" t="inlineStr">
        <is>
          <t>—</t>
        </is>
      </c>
      <c r="C7" s="66">
        <f>C16+C17+C18</f>
        <v/>
      </c>
      <c r="D7" s="66">
        <f>D16+D17+D18</f>
        <v/>
      </c>
      <c r="F7" s="13" t="inlineStr">
        <is>
          <t>Сума по каналах, рахується нижче</t>
        </is>
      </c>
    </row>
    <row r="8">
      <c r="A8" s="5" t="inlineStr">
        <is>
          <t>Виручка / місяць, грн</t>
        </is>
      </c>
      <c r="B8" s="10" t="inlineStr">
        <is>
          <t>—</t>
        </is>
      </c>
      <c r="C8" s="10">
        <f>IFERROR(IF(ISNUMBER(C6)=FALSE,"",C6*Параметри!$B$22),"")</f>
        <v/>
      </c>
      <c r="D8" s="10">
        <f>IFERROR(IF(ISNUMBER(D6)=FALSE,"",D6*Параметри!$B$22),"")</f>
        <v/>
      </c>
      <c r="F8" s="13" t="inlineStr">
        <is>
          <t>Замовлень × середній чек оплаченого замовлення</t>
        </is>
      </c>
    </row>
    <row r="9">
      <c r="A9" s="5" t="inlineStr">
        <is>
          <t>Виручка за 3 місяці, грн</t>
        </is>
      </c>
      <c r="B9" s="10" t="inlineStr">
        <is>
          <t>—</t>
        </is>
      </c>
      <c r="C9" s="10">
        <f>IFERROR(IF(C8="","",C8*3),"")</f>
        <v/>
      </c>
      <c r="D9" s="10">
        <f>IFERROR(IF(D8="","",D8*3),"")</f>
        <v/>
      </c>
    </row>
    <row r="10"/>
    <row r="11">
      <c r="A11" s="3" t="inlineStr">
        <is>
          <t>Розподіл по каналах</t>
        </is>
      </c>
    </row>
    <row r="12" ht="32" customHeight="1">
      <c r="A12" s="4" t="inlineStr">
        <is>
          <t>Канал</t>
        </is>
      </c>
      <c r="B12" s="4" t="inlineStr">
        <is>
          <t>Minimum</t>
        </is>
      </c>
      <c r="C12" s="4" t="inlineStr">
        <is>
          <t>Base</t>
        </is>
      </c>
      <c r="D12" s="4" t="inlineStr">
        <is>
          <t>Stretch</t>
        </is>
      </c>
      <c r="E12" s="4" t="inlineStr"/>
      <c r="F12" s="4" t="inlineStr">
        <is>
          <t>Коментар</t>
        </is>
      </c>
    </row>
    <row r="13">
      <c r="A13" s="14" t="inlineStr">
        <is>
          <t>Виручка e-commerce, грн</t>
        </is>
      </c>
      <c r="B13" s="29" t="inlineStr">
        <is>
          <t>—</t>
        </is>
      </c>
      <c r="C13" s="29">
        <f>IFERROR(IF(C8="","",C8*'Параметри'!C32),"")</f>
        <v/>
      </c>
      <c r="D13" s="29">
        <f>IFERROR(IF(D8="","",D8*'Параметри'!D32),"")</f>
        <v/>
      </c>
    </row>
    <row r="14">
      <c r="A14" s="14" t="inlineStr">
        <is>
          <t>Виручка showroom, грн</t>
        </is>
      </c>
      <c r="B14" s="29" t="inlineStr">
        <is>
          <t>—</t>
        </is>
      </c>
      <c r="C14" s="29">
        <f>IFERROR(IF(C8="","",C8*'Параметри'!C33),"")</f>
        <v/>
      </c>
      <c r="D14" s="29">
        <f>IFERROR(IF(D8="","",D8*'Параметри'!D33),"")</f>
        <v/>
      </c>
      <c r="F14" s="13" t="inlineStr">
        <is>
          <t>До комісії шоуруму — її бренд платить зі своєї маржі</t>
        </is>
      </c>
    </row>
    <row r="15">
      <c r="A15" s="14" t="inlineStr">
        <is>
          <t>Виручка B2B / опт, грн</t>
        </is>
      </c>
      <c r="B15" s="29" t="inlineStr">
        <is>
          <t>—</t>
        </is>
      </c>
      <c r="C15" s="29">
        <f>IFERROR(IF(C8="","",C8*'Параметри'!C34),"")</f>
        <v/>
      </c>
      <c r="D15" s="29">
        <f>IFERROR(IF(D8="","",D8*'Параметри'!D34),"")</f>
        <v/>
      </c>
    </row>
    <row r="16">
      <c r="A16" s="14" t="inlineStr">
        <is>
          <t>Одиниць e-commerce</t>
        </is>
      </c>
      <c r="B16" s="68" t="inlineStr">
        <is>
          <t>—</t>
        </is>
      </c>
      <c r="C16" s="68">
        <f>IFERROR(IF(C13="","",C13/Параметри!$B$25),"")</f>
        <v/>
      </c>
      <c r="D16" s="68">
        <f>IFERROR(IF(D13="","",D13/Параметри!$B$25),"")</f>
        <v/>
      </c>
    </row>
    <row r="17">
      <c r="A17" s="14" t="inlineStr">
        <is>
          <t>Одиниць showroom</t>
        </is>
      </c>
      <c r="B17" s="68" t="inlineStr">
        <is>
          <t>—</t>
        </is>
      </c>
      <c r="C17" s="68">
        <f>IFERROR(IF(C14="","",C14/Параметри!$B$25),"")</f>
        <v/>
      </c>
      <c r="D17" s="68">
        <f>IFERROR(IF(D14="","",D14/Параметри!$B$25),"")</f>
        <v/>
      </c>
    </row>
    <row r="18">
      <c r="A18" s="14" t="inlineStr">
        <is>
          <t>Одиниць B2B / опт</t>
        </is>
      </c>
      <c r="B18" s="68" t="inlineStr">
        <is>
          <t>—</t>
        </is>
      </c>
      <c r="C18" s="68">
        <f>IFERROR(IF(C15="","",IF('B2B ціни'!$H$15=0,"",C15/'B2B ціни'!$H$15)),"")</f>
        <v/>
      </c>
      <c r="D18" s="68">
        <f>IFERROR(IF(D15="","",IF('B2B ціни'!$H$15=0,"",D15/'B2B ціни'!$H$15)),"")</f>
        <v/>
      </c>
      <c r="F18" s="13" t="inlineStr">
        <is>
          <t>Оптова ціна нижча, тому на ту саму виручку припадає більше штук</t>
        </is>
      </c>
    </row>
    <row r="19"/>
    <row r="20">
      <c r="A20" s="3" t="inlineStr">
        <is>
          <t>Результат</t>
        </is>
      </c>
    </row>
    <row r="21" ht="32" customHeight="1">
      <c r="A21" s="4" t="inlineStr">
        <is>
          <t>Показник</t>
        </is>
      </c>
      <c r="B21" s="4" t="inlineStr">
        <is>
          <t>Minimum</t>
        </is>
      </c>
      <c r="C21" s="4" t="inlineStr">
        <is>
          <t>Base</t>
        </is>
      </c>
      <c r="D21" s="4" t="inlineStr">
        <is>
          <t>Stretch</t>
        </is>
      </c>
      <c r="E21" s="4" t="inlineStr"/>
      <c r="F21" s="4" t="inlineStr">
        <is>
          <t>Коментар</t>
        </is>
      </c>
    </row>
    <row r="22">
      <c r="A22" s="14" t="inlineStr">
        <is>
          <t>Внесок усіх замовлень / місяць, грн</t>
        </is>
      </c>
      <c r="B22" s="29" t="inlineStr">
        <is>
          <t>—</t>
        </is>
      </c>
      <c r="C22" s="29">
        <f>IFERROR(IF(C6="","",C6*C5),"")</f>
        <v/>
      </c>
      <c r="D22" s="29">
        <f>IFERROR(IF(D6="","",D6*D5),"")</f>
        <v/>
      </c>
      <c r="F22" s="13" t="inlineStr">
        <is>
          <t>Уже після реклами</t>
        </is>
      </c>
    </row>
    <row r="23">
      <c r="A23" s="23" t="inlineStr">
        <is>
          <t>РЕЗУЛЬТАТ після постійних витрат, грн/міс</t>
        </is>
      </c>
      <c r="B23" s="12" t="inlineStr">
        <is>
          <t>—</t>
        </is>
      </c>
      <c r="C23" s="12">
        <f>IFERROR(IF(C22="","",C22-'Юніт-економіка'!$B$15),"")</f>
        <v/>
      </c>
      <c r="D23" s="12">
        <f>IFERROR(IF(D22="","",D22-'Юніт-економіка'!$B$15),"")</f>
        <v/>
      </c>
      <c r="F23" s="13" t="inlineStr">
        <is>
          <t>Постійні витрати без маркетингу — він уже у внеску</t>
        </is>
      </c>
    </row>
    <row r="24">
      <c r="A24" s="5" t="inlineStr">
        <is>
          <t>Результат за 3 місяці, грн</t>
        </is>
      </c>
      <c r="B24" s="10" t="inlineStr">
        <is>
          <t>—</t>
        </is>
      </c>
      <c r="C24" s="10">
        <f>IFERROR(IF(C23="","",C23*3),"")</f>
        <v/>
      </c>
      <c r="D24" s="10">
        <f>IFERROR(IF(D23="","",D23*3),"")</f>
        <v/>
      </c>
    </row>
    <row r="25">
      <c r="A25" s="14" t="inlineStr">
        <is>
          <t>Contribution margin, % виручки</t>
        </is>
      </c>
      <c r="B25" s="60" t="inlineStr">
        <is>
          <t>—</t>
        </is>
      </c>
      <c r="C25" s="60">
        <f>IFERROR(IF(OR(C8="",C8=0),"",C22/C8),"")</f>
        <v/>
      </c>
      <c r="D25" s="60">
        <f>IFERROR(IF(OR(D8="",D8=0),"",D22/D8),"")</f>
        <v/>
      </c>
      <c r="F25" s="13" t="inlineStr">
        <is>
          <t>Для порівняння з аркушем Break-even</t>
        </is>
      </c>
    </row>
    <row r="26"/>
    <row r="27">
      <c r="A27" s="3" t="inlineStr">
        <is>
          <t>Чи вистачить товару на ці 3 місяці</t>
        </is>
      </c>
    </row>
    <row r="28" ht="32" customHeight="1">
      <c r="A28" s="4" t="inlineStr">
        <is>
          <t>Показник</t>
        </is>
      </c>
      <c r="B28" s="4" t="inlineStr">
        <is>
          <t>Minimum</t>
        </is>
      </c>
      <c r="C28" s="4" t="inlineStr">
        <is>
          <t>Base</t>
        </is>
      </c>
      <c r="D28" s="4" t="inlineStr">
        <is>
          <t>Stretch</t>
        </is>
      </c>
      <c r="E28" s="4" t="inlineStr"/>
      <c r="F28" s="4" t="inlineStr">
        <is>
          <t>Коментар</t>
        </is>
      </c>
    </row>
    <row r="29">
      <c r="A29" s="5" t="inlineStr">
        <is>
          <t>Потрібно одиниць за 3 місяці</t>
        </is>
      </c>
      <c r="B29" s="11" t="inlineStr">
        <is>
          <t>—</t>
        </is>
      </c>
      <c r="C29" s="11">
        <f>IFERROR(IF(C7="","",C7*3),"")</f>
        <v/>
      </c>
      <c r="D29" s="11">
        <f>IFERROR(IF(D7="","",D7*3),"")</f>
        <v/>
      </c>
    </row>
    <row r="30">
      <c r="A30" s="14" t="inlineStr">
        <is>
          <t>Є в наявності + у роботі + дошив, одиниць</t>
        </is>
      </c>
      <c r="B30" s="68">
        <f>IFERROR('План пошиття'!$E$14+'План пошиття'!$E$25+'План пошиття'!$F$36,"")</f>
        <v/>
      </c>
      <c r="C30" s="68">
        <f>IFERROR('План пошиття'!$E$14+'План пошиття'!$E$25+'План пошиття'!$F$36,"")</f>
        <v/>
      </c>
      <c r="D30" s="68">
        <f>IFERROR('План пошиття'!$E$14+'План пошиття'!$E$25+'План пошиття'!$F$36,"")</f>
        <v/>
      </c>
      <c r="F30" s="13" t="inlineStr">
        <is>
          <t>53 готових + 65 у роботі + 16 дошиву = 134</t>
        </is>
      </c>
    </row>
    <row r="31">
      <c r="A31" s="62" t="inlineStr">
        <is>
          <t>Не вистачає одиниць</t>
        </is>
      </c>
      <c r="B31" s="69" t="inlineStr">
        <is>
          <t>—</t>
        </is>
      </c>
      <c r="C31" s="69">
        <f>IFERROR(IF(C29="","",MAX(0,C29-C30)),"")</f>
        <v/>
      </c>
      <c r="D31" s="69">
        <f>IFERROR(IF(D29="","",MAX(0,D29-D30)),"")</f>
        <v/>
      </c>
    </row>
    <row r="32">
      <c r="A32" s="14" t="inlineStr">
        <is>
          <t>Скільки коштує дошити нестачу, грн</t>
        </is>
      </c>
      <c r="B32" s="29" t="inlineStr">
        <is>
          <t>—</t>
        </is>
      </c>
      <c r="C32" s="29">
        <f>IFERROR(IF(C31="","",C31*4500),"")</f>
        <v/>
      </c>
      <c r="D32" s="29">
        <f>IFERROR(IF(D31="","",D31*4500),"")</f>
        <v/>
      </c>
      <c r="F32" s="13" t="inlineStr">
        <is>
          <t>За середньою собівартістю дошиву</t>
        </is>
      </c>
    </row>
    <row r="33">
      <c r="A33" s="14" t="inlineStr">
        <is>
          <t>Залишиться на складі після 3 місяців</t>
        </is>
      </c>
      <c r="B33" s="68" t="inlineStr">
        <is>
          <t>—</t>
        </is>
      </c>
      <c r="C33" s="68">
        <f>IFERROR(IF(C29="","",MAX(0,C30-C29)),"")</f>
        <v/>
      </c>
      <c r="D33" s="68">
        <f>IFERROR(IF(D29="","",MAX(0,D30-D29)),"")</f>
        <v/>
      </c>
      <c r="F33" s="13" t="inlineStr">
        <is>
          <t>Заморожені гроші, якщо цифра велика</t>
        </is>
      </c>
    </row>
    <row r="34"/>
    <row r="35">
      <c r="A35" s="3" t="inlineStr">
        <is>
          <t>Помісячно — вересень, жовтень, листопад (сценарій Base)</t>
        </is>
      </c>
    </row>
    <row r="36" ht="32" customHeight="1">
      <c r="A36" s="4" t="inlineStr">
        <is>
          <t>Місяць</t>
        </is>
      </c>
      <c r="B36" s="4" t="inlineStr">
        <is>
          <t>Оплачених замовлень</t>
        </is>
      </c>
      <c r="C36" s="4" t="inlineStr">
        <is>
          <t>Одиниць</t>
        </is>
      </c>
      <c r="D36" s="4" t="inlineStr">
        <is>
          <t>Виручка, грн</t>
        </is>
      </c>
      <c r="E36" s="4" t="inlineStr">
        <is>
          <t>Результат, грн</t>
        </is>
      </c>
      <c r="F36" s="4" t="inlineStr">
        <is>
          <t>Товару лишиться на складі</t>
        </is>
      </c>
    </row>
    <row r="37">
      <c r="A37" s="14" t="inlineStr">
        <is>
          <t>Вересень</t>
        </is>
      </c>
      <c r="B37" s="70">
        <f>IFERROR(ROUND($C$6*0.6,0),"")</f>
        <v/>
      </c>
      <c r="C37" s="64">
        <f>IFERROR(ROUND($C$7*0.6,0),"")</f>
        <v/>
      </c>
      <c r="D37" s="21">
        <f>B37*Параметри!$B$22</f>
        <v/>
      </c>
      <c r="E37" s="27">
        <f>B37*$C$5-'Юніт-економіка'!$B$15</f>
        <v/>
      </c>
      <c r="F37" s="64">
        <f>MAX(0,$C$30-C37)</f>
        <v/>
      </c>
    </row>
    <row r="38">
      <c r="A38" s="14" t="inlineStr">
        <is>
          <t>Жовтень</t>
        </is>
      </c>
      <c r="B38" s="70">
        <f>IFERROR(ROUND($C$6*1.0,0),"")</f>
        <v/>
      </c>
      <c r="C38" s="64">
        <f>IFERROR(ROUND($C$7*1.0,0),"")</f>
        <v/>
      </c>
      <c r="D38" s="21">
        <f>B38*Параметри!$B$22</f>
        <v/>
      </c>
      <c r="E38" s="27">
        <f>B38*$C$5-'Юніт-економіка'!$B$15</f>
        <v/>
      </c>
      <c r="F38" s="64">
        <f>MAX(0,F37-C38)</f>
        <v/>
      </c>
    </row>
    <row r="39">
      <c r="A39" s="14" t="inlineStr">
        <is>
          <t>Листопад</t>
        </is>
      </c>
      <c r="B39" s="70">
        <f>IFERROR(ROUND($C$6*1.2,0),"")</f>
        <v/>
      </c>
      <c r="C39" s="64">
        <f>IFERROR(ROUND($C$7*1.2,0),"")</f>
        <v/>
      </c>
      <c r="D39" s="21">
        <f>B39*Параметри!$B$22</f>
        <v/>
      </c>
      <c r="E39" s="27">
        <f>B39*$C$5-'Юніт-економіка'!$B$15</f>
        <v/>
      </c>
      <c r="F39" s="64">
        <f>MAX(0,F38-C39)</f>
        <v/>
      </c>
    </row>
    <row r="40">
      <c r="A40" s="23" t="inlineStr">
        <is>
          <t>РАЗОМ за квартал</t>
        </is>
      </c>
      <c r="B40" s="65">
        <f>SUM(B37:B39)</f>
        <v/>
      </c>
      <c r="C40" s="65">
        <f>SUM(C37:C39)</f>
        <v/>
      </c>
      <c r="D40" s="24">
        <f>SUM(D37:D39)</f>
        <v/>
      </c>
      <c r="E40" s="24">
        <f>SUM(E37:E39)</f>
        <v/>
      </c>
    </row>
    <row r="41"/>
    <row r="42" ht="52" customHeight="1">
      <c r="A42" s="33" t="inlineStr">
        <is>
          <t>Розгін закладено: вересень 60% від плану Base, жовтень 100%, листопад 120%. Перший місяць після запуску ніколи не дає повний обсяг — закладати рівну цифру у всі три місяці було б самообманом. Коефіцієнти можна змінити прямо у формулах.</t>
        </is>
      </c>
      <c r="B42" s="19" t="n"/>
      <c r="C42" s="19" t="n"/>
      <c r="D42" s="19" t="n"/>
      <c r="E42" s="19" t="n"/>
      <c r="F42" s="20" t="n"/>
    </row>
    <row r="43"/>
    <row r="44" ht="65" customHeight="1">
      <c r="A44" s="18" t="inlineStr">
        <is>
          <t>Головне, що показує цей аркуш. Minimum — це не ціль, а лінія виживання: стільки оплачених замовлень треба, щоб не втрачати гроші за поточної юніт-економіки. Якщо ця цифра виглядає недосяжною — проблема не в плані продажів, а в економіці одного замовлення. Її лагодять на аркуші «Юніт-економіка»: зниження повернень і вартості залучення опускають Minimum у рази.</t>
        </is>
      </c>
      <c r="B44" s="19" t="n"/>
      <c r="C44" s="19" t="n"/>
      <c r="D44" s="19" t="n"/>
      <c r="E44" s="19" t="n"/>
      <c r="F44" s="20" t="n"/>
    </row>
    <row r="45"/>
    <row r="46" ht="52" customHeight="1">
      <c r="A46" s="28" t="inlineStr">
        <is>
          <t>Блок «Чи вистачить товару» звіряє план із реальним виробництвом: 53 готових одиниці, 65 у роботі в підрядників і 16 дошиву. Якщо плану не вистачає товару — видно одразу, скільки ще шити і скільки це коштує. Якщо навпаки лишається багато — це заморожені гроші, і план треба або піднімати, або різати виробництво.</t>
        </is>
      </c>
      <c r="B46" s="19" t="n"/>
      <c r="C46" s="19" t="n"/>
      <c r="D46" s="19" t="n"/>
      <c r="E46" s="19" t="n"/>
      <c r="F46" s="20" t="n"/>
    </row>
  </sheetData>
  <mergeCells count="9">
    <mergeCell ref="A2:F2"/>
    <mergeCell ref="A11:F11"/>
    <mergeCell ref="A42:F42"/>
    <mergeCell ref="A46:F46"/>
    <mergeCell ref="A44:F44"/>
    <mergeCell ref="A1:F1"/>
    <mergeCell ref="A27:F27"/>
    <mergeCell ref="A35:F35"/>
    <mergeCell ref="A20:F20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G43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44" customWidth="1" min="7" max="7"/>
  </cols>
  <sheetData>
    <row r="1" ht="24" customHeight="1">
      <c r="A1" s="1" t="inlineStr">
        <is>
          <t>Планування — скільки треба продавати, щоб вийти в нуль</t>
        </is>
      </c>
    </row>
    <row r="2" ht="42" customHeight="1">
      <c r="A2" s="2" t="inlineStr">
        <is>
          <t>Міняйте жовті клітинки. Усе решта перерахується. Це той самий калькулятор, що на сайті у вкладці «Модель», але тут видно кожну формулу.</t>
        </is>
      </c>
    </row>
    <row r="4">
      <c r="A4" s="3" t="inlineStr">
        <is>
          <t>Вхідні дані — те, що можна змінювати</t>
        </is>
      </c>
    </row>
    <row r="5" ht="32" customHeight="1">
      <c r="A5" s="4" t="inlineStr">
        <is>
          <t>Показник</t>
        </is>
      </c>
      <c r="B5" s="4" t="inlineStr">
        <is>
          <t>Значення</t>
        </is>
      </c>
      <c r="C5" s="4" t="inlineStr"/>
      <c r="D5" s="4" t="inlineStr"/>
      <c r="E5" s="4" t="inlineStr"/>
      <c r="F5" s="4" t="inlineStr"/>
      <c r="G5" s="4" t="inlineStr">
        <is>
          <t>Звідки взято</t>
        </is>
      </c>
    </row>
    <row r="6" ht="28" customHeight="1">
      <c r="A6" s="14" t="inlineStr">
        <is>
          <t>Зривається замовлень на доставці</t>
        </is>
      </c>
      <c r="B6" s="71" t="n">
        <v>0.58</v>
      </c>
      <c r="G6" s="7" t="inlineStr">
        <is>
          <t>Факт: оплачено 11 із 26 відправлень.</t>
        </is>
      </c>
    </row>
    <row r="7" ht="28" customHeight="1">
      <c r="A7" s="14" t="inlineStr">
        <is>
          <t>Зривається замовлень на самовивозі</t>
        </is>
      </c>
      <c r="B7" s="71" t="n">
        <v>0.4</v>
      </c>
      <c r="G7" s="7" t="inlineStr">
        <is>
          <t>Факт: оплачено 9 із 15. Приміряла — майже не відмовляється.</t>
        </is>
      </c>
    </row>
    <row r="8" ht="28" customHeight="1">
      <c r="A8" s="14" t="inlineStr">
        <is>
          <t>Реклама на одне валове замовлення, грн</t>
        </is>
      </c>
      <c r="B8" s="43" t="n">
        <v>4370</v>
      </c>
      <c r="G8" s="7" t="inlineStr">
        <is>
          <t>148 587 грн маркетингу за 3 міс. / 34 замовлень того ж періоду.</t>
        </is>
      </c>
    </row>
    <row r="9" ht="28" customHeight="1">
      <c r="A9" s="14" t="inlineStr">
        <is>
          <t>Середній чек оплаченого замовлення, грн</t>
        </is>
      </c>
      <c r="B9" s="43" t="n">
        <v>20170</v>
      </c>
      <c r="G9" s="7" t="inlineStr">
        <is>
          <t>Факт із CRM.</t>
        </is>
      </c>
    </row>
    <row r="10" ht="28" customHeight="1">
      <c r="A10" s="14" t="inlineStr">
        <is>
          <t>Одиниць товару в замовленні</t>
        </is>
      </c>
      <c r="B10" s="72" t="n">
        <v>1.3171</v>
      </c>
      <c r="G10" s="7" t="inlineStr">
        <is>
          <t>Факт із CRM.</t>
        </is>
      </c>
    </row>
    <row r="11" ht="28" customHeight="1">
      <c r="A11" s="14" t="inlineStr">
        <is>
          <t>Собівартість одиниці, грн</t>
        </is>
      </c>
      <c r="B11" s="43" t="n">
        <v>4891.88</v>
      </c>
      <c r="G11" s="7" t="inlineStr">
        <is>
          <t>Фактична з CRM по оплачених замовленнях: сума мінус маржа, поділена на одиниці. Це «як шили насправді», а не найдешевший можливий варіант.</t>
        </is>
      </c>
    </row>
    <row r="12" ht="28" customHeight="1">
      <c r="A12" s="14" t="inlineStr">
        <is>
          <t>Частка продажів через шоурум</t>
        </is>
      </c>
      <c r="B12" s="71" t="n">
        <v>0</v>
      </c>
      <c r="G12" s="7" t="inlineStr">
        <is>
          <t>Шоурум забирає комісію, але не має доставки і зривається рідше.</t>
        </is>
      </c>
    </row>
    <row r="13" ht="28" customHeight="1">
      <c r="A13" s="14" t="inlineStr">
        <is>
          <t>Комісія шоуруму</t>
        </is>
      </c>
      <c r="B13" s="71" t="n">
        <v>0.4</v>
      </c>
      <c r="G13" s="7" t="inlineStr">
        <is>
          <t>З фінмоделі бренду.</t>
        </is>
      </c>
    </row>
    <row r="14" ht="28" customHeight="1">
      <c r="A14" s="14" t="inlineStr">
        <is>
          <t>Логістика на ОПЛАЧЕНЕ замовлення, грн</t>
        </is>
      </c>
      <c r="B14" s="43" t="n">
        <v>660</v>
      </c>
      <c r="G14" s="7" t="inlineStr">
        <is>
          <t>Уся категорія «Логістика» з Cash Flow = 8 580 грн за 3 міс  поділена на 13 оплачених замовлень того ж періоду. Ця сума ВЖЕ включає пересилку повернень — тому окремого рядка на зірвані замовлення немає. Якщо Нову пошту платить клієнт — поставте 0.</t>
        </is>
      </c>
    </row>
    <row r="15" ht="28" customHeight="1">
      <c r="A15" s="14" t="inlineStr">
        <is>
          <t>Податок</t>
        </is>
      </c>
      <c r="B15" s="71" t="n">
        <v>0.05</v>
      </c>
      <c r="G15" s="7" t="inlineStr">
        <is>
          <t>ФОП 3 група.</t>
        </is>
      </c>
    </row>
    <row r="16" ht="28" customHeight="1">
      <c r="A16" s="14" t="inlineStr">
        <is>
          <t>Постійні витрати без маркетингу, грн/міс</t>
        </is>
      </c>
      <c r="B16" s="43" t="n">
        <v>212321</v>
      </c>
      <c r="G16" s="7" t="inlineStr">
        <is>
          <t>Cash Flow: ФОП, розробка, адмін, IT. Маркетинг сюди не входить — він рахується на замовлення.</t>
        </is>
      </c>
    </row>
    <row r="18">
      <c r="A18" s="3" t="inlineStr">
        <is>
          <t>Що з цього виходить</t>
        </is>
      </c>
    </row>
    <row r="19" ht="32" customHeight="1">
      <c r="A19" s="4" t="inlineStr">
        <is>
          <t>Показник</t>
        </is>
      </c>
      <c r="B19" s="4" t="inlineStr">
        <is>
          <t>Значення</t>
        </is>
      </c>
      <c r="C19" s="4" t="inlineStr"/>
      <c r="D19" s="4" t="inlineStr"/>
      <c r="E19" s="4" t="inlineStr"/>
      <c r="F19" s="4" t="inlineStr"/>
      <c r="G19" s="4" t="inlineStr">
        <is>
          <t>Формула словами</t>
        </is>
      </c>
    </row>
    <row r="20" ht="26" customHeight="1">
      <c r="A20" s="14" t="inlineStr">
        <is>
          <t>Зривається загалом, з урахуванням шоуруму</t>
        </is>
      </c>
      <c r="B20" s="73">
        <f>$B$6*(1-$B$12)+$B$7*$B$12</f>
        <v/>
      </c>
      <c r="G20" s="7" t="inlineStr">
        <is>
          <t>Зрив доставки на її частку плюс зрив самовивозу на свою.</t>
        </is>
      </c>
    </row>
    <row r="21" ht="26" customHeight="1">
      <c r="A21" s="14" t="inlineStr">
        <is>
          <t>Реклама в перерахунку на ОПЛАЧЕНЕ замовлення, грн</t>
        </is>
      </c>
      <c r="B21" s="10">
        <f>IFERROR($B$8/(1-$B$20),"—")</f>
        <v/>
      </c>
      <c r="G21" s="7" t="inlineStr">
        <is>
          <t>Бюджет ділиться на тих, хто таки заплатив.</t>
        </is>
      </c>
    </row>
    <row r="22" ht="26" customHeight="1">
      <c r="A22" s="14" t="inlineStr">
        <is>
          <t>Товар у замовленні, грн</t>
        </is>
      </c>
      <c r="B22" s="10">
        <f>$B$11*$B$10</f>
        <v/>
      </c>
      <c r="G22" s="7" t="inlineStr">
        <is>
          <t>Собівартість одиниці × одиниць у замовленні.</t>
        </is>
      </c>
    </row>
    <row r="23" ht="26" customHeight="1">
      <c r="A23" s="14" t="inlineStr">
        <is>
          <t>Податок із замовлення, грн</t>
        </is>
      </c>
      <c r="B23" s="10">
        <f>$B$9*$B$15</f>
        <v/>
      </c>
      <c r="G23" s="7" t="inlineStr"/>
    </row>
    <row r="24" ht="26" customHeight="1">
      <c r="A24" s="14" t="inlineStr">
        <is>
          <t>Комісія шоуруму із замовлення, грн</t>
        </is>
      </c>
      <c r="B24" s="10">
        <f>$B$9*$B$12*$B$13</f>
        <v/>
      </c>
      <c r="G24" s="7" t="inlineStr">
        <is>
          <t>Тільки на ту частку, що йде через шоурум.</t>
        </is>
      </c>
    </row>
    <row r="25" ht="26" customHeight="1">
      <c r="A25" s="14" t="inlineStr">
        <is>
          <t>Доставка оплаченого замовлення, грн</t>
        </is>
      </c>
      <c r="B25" s="10">
        <f>$B$14*(1-$B$12)</f>
        <v/>
      </c>
      <c r="G25" s="7" t="inlineStr">
        <is>
          <t>Самовивіз доставки не має.</t>
        </is>
      </c>
    </row>
    <row r="26" ht="26" customHeight="1">
      <c r="A26" s="14" t="inlineStr">
        <is>
          <t>Пересилка зірваних — окремо НЕ рахується</t>
        </is>
      </c>
      <c r="B26" s="10" t="n">
        <v>0</v>
      </c>
      <c r="G26" s="7" t="inlineStr">
        <is>
          <t>Нуль навмисно: категорія «Логістика» вище вже покриває і відправку, і повернення. Раніше тут була окрема сума — це був подвійний рахунок, він завищував витрати у 2,4 раза.</t>
        </is>
      </c>
    </row>
    <row r="27" ht="26" customHeight="1">
      <c r="A27" s="23" t="inlineStr">
        <is>
          <t>ЛИШАЄТЬСЯ З ОДНОГО ОПЛАЧЕНОГО ЗАМОВЛЕННЯ, грн</t>
        </is>
      </c>
      <c r="B27" s="12">
        <f>$B$9-$B$22-$B$23-$B$24-$B$25-$B$21-$B$26</f>
        <v/>
      </c>
      <c r="G27" s="7" t="inlineStr">
        <is>
          <t>Чек мінус усе вище. Саме це покриває постійні витрати.</t>
        </is>
      </c>
    </row>
    <row r="28" ht="26" customHeight="1">
      <c r="A28" s="23" t="inlineStr">
        <is>
          <t>ЗАМОВЛЕНЬ НА МІСЯЦЬ, ЩОБ ВИЙТИ В НУЛЬ</t>
        </is>
      </c>
      <c r="B28" s="74">
        <f>IF($B$27&lt;=0,"не окупається",$B$16/$B$27)</f>
        <v/>
      </c>
      <c r="G28" s="7" t="inlineStr">
        <is>
          <t>Постійні витрати / внесок із замовлення.</t>
        </is>
      </c>
    </row>
    <row r="29" ht="26" customHeight="1">
      <c r="A29" s="14" t="inlineStr">
        <is>
          <t>Одиниць товару на місяць</t>
        </is>
      </c>
      <c r="B29" s="75">
        <f>IFERROR($B$28*$B$10,"—")</f>
        <v/>
      </c>
      <c r="G29" s="7" t="inlineStr">
        <is>
          <t>Замовлень × одиниць у замовленні.</t>
        </is>
      </c>
    </row>
    <row r="30" ht="26" customHeight="1">
      <c r="A30" s="14" t="inlineStr">
        <is>
          <t>Виручка на місяць, грн</t>
        </is>
      </c>
      <c r="B30" s="10">
        <f>IFERROR($B$28*$B$9,"—")</f>
        <v/>
      </c>
      <c r="G30" s="7" t="inlineStr">
        <is>
          <t>Замовлень × середній чек.</t>
        </is>
      </c>
    </row>
    <row r="32" ht="39" customHeight="1">
      <c r="A32" s="33" t="inlineStr">
        <is>
          <t>Реклама на оплачене завжди більша за рекламу на валове замовлення: бюджет витрачається на всіх, а платить лише частина. Саме тому зменшення зривів працює одразу у два боки — і менше пересилок, і дешевше залучення.</t>
        </is>
      </c>
      <c r="B32" s="19" t="n"/>
      <c r="C32" s="19" t="n"/>
      <c r="D32" s="19" t="n"/>
      <c r="E32" s="19" t="n"/>
      <c r="F32" s="19" t="n"/>
      <c r="G32" s="20" t="n"/>
    </row>
    <row r="34">
      <c r="A34" s="3" t="inlineStr">
        <is>
          <t>Скільки замовлень треба, якщо змінити дві речі одночасно</t>
        </is>
      </c>
    </row>
    <row r="35" ht="32" customHeight="1">
      <c r="A35" s="4" t="inlineStr">
        <is>
          <t>Зривається на доставці ↓ · Реклама на замовлення →</t>
        </is>
      </c>
      <c r="B35" s="4" t="inlineStr">
        <is>
          <t>1 000 грн</t>
        </is>
      </c>
      <c r="C35" s="4" t="inlineStr">
        <is>
          <t>2 000 грн</t>
        </is>
      </c>
      <c r="D35" s="4" t="inlineStr">
        <is>
          <t>3 000 грн</t>
        </is>
      </c>
      <c r="E35" s="4" t="inlineStr">
        <is>
          <t>4 370 грн</t>
        </is>
      </c>
      <c r="F35" s="4" t="inlineStr">
        <is>
          <t>6 000 грн</t>
        </is>
      </c>
      <c r="G35" s="4" t="inlineStr"/>
    </row>
    <row r="36">
      <c r="A36" s="76" t="inlineStr">
        <is>
          <t>30%</t>
        </is>
      </c>
      <c r="B36" s="77">
        <f>IFERROR(IF(($B$9-$B$22-$B$23-$B$24-$B$25-1000/(1-(30/100*(1-$B$12)+$B$7*$B$12))-30/100*(1-$B$12)/(1-(30/100*(1-$B$12)+$B$7*$B$12))*$B$14)&lt;=0,"—",$B$16/($B$9-$B$22-$B$23-$B$24-$B$25-1000/(1-(30/100*(1-$B$12)+$B$7*$B$12))-30/100*(1-$B$12)/(1-(30/100*(1-$B$12)+$B$7*$B$12))*$B$14)),"—")</f>
        <v/>
      </c>
      <c r="C36" s="77">
        <f>IFERROR(IF(($B$9-$B$22-$B$23-$B$24-$B$25-2000/(1-(30/100*(1-$B$12)+$B$7*$B$12))-30/100*(1-$B$12)/(1-(30/100*(1-$B$12)+$B$7*$B$12))*$B$14)&lt;=0,"—",$B$16/($B$9-$B$22-$B$23-$B$24-$B$25-2000/(1-(30/100*(1-$B$12)+$B$7*$B$12))-30/100*(1-$B$12)/(1-(30/100*(1-$B$12)+$B$7*$B$12))*$B$14)),"—")</f>
        <v/>
      </c>
      <c r="D36" s="77">
        <f>IFERROR(IF(($B$9-$B$22-$B$23-$B$24-$B$25-3000/(1-(30/100*(1-$B$12)+$B$7*$B$12))-30/100*(1-$B$12)/(1-(30/100*(1-$B$12)+$B$7*$B$12))*$B$14)&lt;=0,"—",$B$16/($B$9-$B$22-$B$23-$B$24-$B$25-3000/(1-(30/100*(1-$B$12)+$B$7*$B$12))-30/100*(1-$B$12)/(1-(30/100*(1-$B$12)+$B$7*$B$12))*$B$14)),"—")</f>
        <v/>
      </c>
      <c r="E36" s="29">
        <f>IFERROR(IF(($B$9-$B$22-$B$23-$B$24-$B$25-4370/(1-(30/100*(1-$B$12)+$B$7*$B$12))-30/100*(1-$B$12)/(1-(30/100*(1-$B$12)+$B$7*$B$12))*$B$14)&lt;=0,"—",$B$16/($B$9-$B$22-$B$23-$B$24-$B$25-4370/(1-(30/100*(1-$B$12)+$B$7*$B$12))-30/100*(1-$B$12)/(1-(30/100*(1-$B$12)+$B$7*$B$12))*$B$14)),"—")</f>
        <v/>
      </c>
      <c r="F36" s="29">
        <f>IFERROR(IF(($B$9-$B$22-$B$23-$B$24-$B$25-6000/(1-(30/100*(1-$B$12)+$B$7*$B$12))-30/100*(1-$B$12)/(1-(30/100*(1-$B$12)+$B$7*$B$12))*$B$14)&lt;=0,"—",$B$16/($B$9-$B$22-$B$23-$B$24-$B$25-6000/(1-(30/100*(1-$B$12)+$B$7*$B$12))-30/100*(1-$B$12)/(1-(30/100*(1-$B$12)+$B$7*$B$12))*$B$14)),"—")</f>
        <v/>
      </c>
      <c r="G36" s="13" t="inlineStr"/>
    </row>
    <row r="37">
      <c r="A37" s="76" t="inlineStr">
        <is>
          <t>40%</t>
        </is>
      </c>
      <c r="B37" s="77">
        <f>IFERROR(IF(($B$9-$B$22-$B$23-$B$24-$B$25-1000/(1-(40/100*(1-$B$12)+$B$7*$B$12))-40/100*(1-$B$12)/(1-(40/100*(1-$B$12)+$B$7*$B$12))*$B$14)&lt;=0,"—",$B$16/($B$9-$B$22-$B$23-$B$24-$B$25-1000/(1-(40/100*(1-$B$12)+$B$7*$B$12))-40/100*(1-$B$12)/(1-(40/100*(1-$B$12)+$B$7*$B$12))*$B$14)),"—")</f>
        <v/>
      </c>
      <c r="C37" s="77">
        <f>IFERROR(IF(($B$9-$B$22-$B$23-$B$24-$B$25-2000/(1-(40/100*(1-$B$12)+$B$7*$B$12))-40/100*(1-$B$12)/(1-(40/100*(1-$B$12)+$B$7*$B$12))*$B$14)&lt;=0,"—",$B$16/($B$9-$B$22-$B$23-$B$24-$B$25-2000/(1-(40/100*(1-$B$12)+$B$7*$B$12))-40/100*(1-$B$12)/(1-(40/100*(1-$B$12)+$B$7*$B$12))*$B$14)),"—")</f>
        <v/>
      </c>
      <c r="D37" s="77">
        <f>IFERROR(IF(($B$9-$B$22-$B$23-$B$24-$B$25-3000/(1-(40/100*(1-$B$12)+$B$7*$B$12))-40/100*(1-$B$12)/(1-(40/100*(1-$B$12)+$B$7*$B$12))*$B$14)&lt;=0,"—",$B$16/($B$9-$B$22-$B$23-$B$24-$B$25-3000/(1-(40/100*(1-$B$12)+$B$7*$B$12))-40/100*(1-$B$12)/(1-(40/100*(1-$B$12)+$B$7*$B$12))*$B$14)),"—")</f>
        <v/>
      </c>
      <c r="E37" s="29">
        <f>IFERROR(IF(($B$9-$B$22-$B$23-$B$24-$B$25-4370/(1-(40/100*(1-$B$12)+$B$7*$B$12))-40/100*(1-$B$12)/(1-(40/100*(1-$B$12)+$B$7*$B$12))*$B$14)&lt;=0,"—",$B$16/($B$9-$B$22-$B$23-$B$24-$B$25-4370/(1-(40/100*(1-$B$12)+$B$7*$B$12))-40/100*(1-$B$12)/(1-(40/100*(1-$B$12)+$B$7*$B$12))*$B$14)),"—")</f>
        <v/>
      </c>
      <c r="F37" s="29">
        <f>IFERROR(IF(($B$9-$B$22-$B$23-$B$24-$B$25-6000/(1-(40/100*(1-$B$12)+$B$7*$B$12))-40/100*(1-$B$12)/(1-(40/100*(1-$B$12)+$B$7*$B$12))*$B$14)&lt;=0,"—",$B$16/($B$9-$B$22-$B$23-$B$24-$B$25-6000/(1-(40/100*(1-$B$12)+$B$7*$B$12))-40/100*(1-$B$12)/(1-(40/100*(1-$B$12)+$B$7*$B$12))*$B$14)),"—")</f>
        <v/>
      </c>
      <c r="G37" s="13" t="inlineStr"/>
    </row>
    <row r="38">
      <c r="A38" s="76" t="inlineStr">
        <is>
          <t>50%</t>
        </is>
      </c>
      <c r="B38" s="29">
        <f>IFERROR(IF(($B$9-$B$22-$B$23-$B$24-$B$25-1000/(1-(50/100*(1-$B$12)+$B$7*$B$12))-50/100*(1-$B$12)/(1-(50/100*(1-$B$12)+$B$7*$B$12))*$B$14)&lt;=0,"—",$B$16/($B$9-$B$22-$B$23-$B$24-$B$25-1000/(1-(50/100*(1-$B$12)+$B$7*$B$12))-50/100*(1-$B$12)/(1-(50/100*(1-$B$12)+$B$7*$B$12))*$B$14)),"—")</f>
        <v/>
      </c>
      <c r="C38" s="29">
        <f>IFERROR(IF(($B$9-$B$22-$B$23-$B$24-$B$25-2000/(1-(50/100*(1-$B$12)+$B$7*$B$12))-50/100*(1-$B$12)/(1-(50/100*(1-$B$12)+$B$7*$B$12))*$B$14)&lt;=0,"—",$B$16/($B$9-$B$22-$B$23-$B$24-$B$25-2000/(1-(50/100*(1-$B$12)+$B$7*$B$12))-50/100*(1-$B$12)/(1-(50/100*(1-$B$12)+$B$7*$B$12))*$B$14)),"—")</f>
        <v/>
      </c>
      <c r="D38" s="29">
        <f>IFERROR(IF(($B$9-$B$22-$B$23-$B$24-$B$25-3000/(1-(50/100*(1-$B$12)+$B$7*$B$12))-50/100*(1-$B$12)/(1-(50/100*(1-$B$12)+$B$7*$B$12))*$B$14)&lt;=0,"—",$B$16/($B$9-$B$22-$B$23-$B$24-$B$25-3000/(1-(50/100*(1-$B$12)+$B$7*$B$12))-50/100*(1-$B$12)/(1-(50/100*(1-$B$12)+$B$7*$B$12))*$B$14)),"—")</f>
        <v/>
      </c>
      <c r="E38" s="29">
        <f>IFERROR(IF(($B$9-$B$22-$B$23-$B$24-$B$25-4370/(1-(50/100*(1-$B$12)+$B$7*$B$12))-50/100*(1-$B$12)/(1-(50/100*(1-$B$12)+$B$7*$B$12))*$B$14)&lt;=0,"—",$B$16/($B$9-$B$22-$B$23-$B$24-$B$25-4370/(1-(50/100*(1-$B$12)+$B$7*$B$12))-50/100*(1-$B$12)/(1-(50/100*(1-$B$12)+$B$7*$B$12))*$B$14)),"—")</f>
        <v/>
      </c>
      <c r="F38" s="29">
        <f>IFERROR(IF(($B$9-$B$22-$B$23-$B$24-$B$25-6000/(1-(50/100*(1-$B$12)+$B$7*$B$12))-50/100*(1-$B$12)/(1-(50/100*(1-$B$12)+$B$7*$B$12))*$B$14)&lt;=0,"—",$B$16/($B$9-$B$22-$B$23-$B$24-$B$25-6000/(1-(50/100*(1-$B$12)+$B$7*$B$12))-50/100*(1-$B$12)/(1-(50/100*(1-$B$12)+$B$7*$B$12))*$B$14)),"—")</f>
        <v/>
      </c>
      <c r="G38" s="13" t="inlineStr"/>
    </row>
    <row r="39">
      <c r="A39" s="78" t="inlineStr">
        <is>
          <t>58%</t>
        </is>
      </c>
      <c r="B39" s="29">
        <f>IFERROR(IF(($B$9-$B$22-$B$23-$B$24-$B$25-1000/(1-(58/100*(1-$B$12)+$B$7*$B$12))-58/100*(1-$B$12)/(1-(58/100*(1-$B$12)+$B$7*$B$12))*$B$14)&lt;=0,"—",$B$16/($B$9-$B$22-$B$23-$B$24-$B$25-1000/(1-(58/100*(1-$B$12)+$B$7*$B$12))-58/100*(1-$B$12)/(1-(58/100*(1-$B$12)+$B$7*$B$12))*$B$14)),"—")</f>
        <v/>
      </c>
      <c r="C39" s="29">
        <f>IFERROR(IF(($B$9-$B$22-$B$23-$B$24-$B$25-2000/(1-(58/100*(1-$B$12)+$B$7*$B$12))-58/100*(1-$B$12)/(1-(58/100*(1-$B$12)+$B$7*$B$12))*$B$14)&lt;=0,"—",$B$16/($B$9-$B$22-$B$23-$B$24-$B$25-2000/(1-(58/100*(1-$B$12)+$B$7*$B$12))-58/100*(1-$B$12)/(1-(58/100*(1-$B$12)+$B$7*$B$12))*$B$14)),"—")</f>
        <v/>
      </c>
      <c r="D39" s="29">
        <f>IFERROR(IF(($B$9-$B$22-$B$23-$B$24-$B$25-3000/(1-(58/100*(1-$B$12)+$B$7*$B$12))-58/100*(1-$B$12)/(1-(58/100*(1-$B$12)+$B$7*$B$12))*$B$14)&lt;=0,"—",$B$16/($B$9-$B$22-$B$23-$B$24-$B$25-3000/(1-(58/100*(1-$B$12)+$B$7*$B$12))-58/100*(1-$B$12)/(1-(58/100*(1-$B$12)+$B$7*$B$12))*$B$14)),"—")</f>
        <v/>
      </c>
      <c r="E39" s="29">
        <f>IFERROR(IF(($B$9-$B$22-$B$23-$B$24-$B$25-4370/(1-(58/100*(1-$B$12)+$B$7*$B$12))-58/100*(1-$B$12)/(1-(58/100*(1-$B$12)+$B$7*$B$12))*$B$14)&lt;=0,"—",$B$16/($B$9-$B$22-$B$23-$B$24-$B$25-4370/(1-(58/100*(1-$B$12)+$B$7*$B$12))-58/100*(1-$B$12)/(1-(58/100*(1-$B$12)+$B$7*$B$12))*$B$14)),"—")</f>
        <v/>
      </c>
      <c r="F39" s="29">
        <f>IFERROR(IF(($B$9-$B$22-$B$23-$B$24-$B$25-6000/(1-(58/100*(1-$B$12)+$B$7*$B$12))-58/100*(1-$B$12)/(1-(58/100*(1-$B$12)+$B$7*$B$12))*$B$14)&lt;=0,"—",$B$16/($B$9-$B$22-$B$23-$B$24-$B$25-6000/(1-(58/100*(1-$B$12)+$B$7*$B$12))-58/100*(1-$B$12)/(1-(58/100*(1-$B$12)+$B$7*$B$12))*$B$14)),"—")</f>
        <v/>
      </c>
      <c r="G39" s="13" t="inlineStr"/>
    </row>
    <row r="40">
      <c r="A40" s="76" t="inlineStr">
        <is>
          <t>65%</t>
        </is>
      </c>
      <c r="B40" s="29">
        <f>IFERROR(IF(($B$9-$B$22-$B$23-$B$24-$B$25-1000/(1-(65/100*(1-$B$12)+$B$7*$B$12))-65/100*(1-$B$12)/(1-(65/100*(1-$B$12)+$B$7*$B$12))*$B$14)&lt;=0,"—",$B$16/($B$9-$B$22-$B$23-$B$24-$B$25-1000/(1-(65/100*(1-$B$12)+$B$7*$B$12))-65/100*(1-$B$12)/(1-(65/100*(1-$B$12)+$B$7*$B$12))*$B$14)),"—")</f>
        <v/>
      </c>
      <c r="C40" s="29">
        <f>IFERROR(IF(($B$9-$B$22-$B$23-$B$24-$B$25-2000/(1-(65/100*(1-$B$12)+$B$7*$B$12))-65/100*(1-$B$12)/(1-(65/100*(1-$B$12)+$B$7*$B$12))*$B$14)&lt;=0,"—",$B$16/($B$9-$B$22-$B$23-$B$24-$B$25-2000/(1-(65/100*(1-$B$12)+$B$7*$B$12))-65/100*(1-$B$12)/(1-(65/100*(1-$B$12)+$B$7*$B$12))*$B$14)),"—")</f>
        <v/>
      </c>
      <c r="D40" s="29">
        <f>IFERROR(IF(($B$9-$B$22-$B$23-$B$24-$B$25-3000/(1-(65/100*(1-$B$12)+$B$7*$B$12))-65/100*(1-$B$12)/(1-(65/100*(1-$B$12)+$B$7*$B$12))*$B$14)&lt;=0,"—",$B$16/($B$9-$B$22-$B$23-$B$24-$B$25-3000/(1-(65/100*(1-$B$12)+$B$7*$B$12))-65/100*(1-$B$12)/(1-(65/100*(1-$B$12)+$B$7*$B$12))*$B$14)),"—")</f>
        <v/>
      </c>
      <c r="E40" s="29">
        <f>IFERROR(IF(($B$9-$B$22-$B$23-$B$24-$B$25-4370/(1-(65/100*(1-$B$12)+$B$7*$B$12))-65/100*(1-$B$12)/(1-(65/100*(1-$B$12)+$B$7*$B$12))*$B$14)&lt;=0,"—",$B$16/($B$9-$B$22-$B$23-$B$24-$B$25-4370/(1-(65/100*(1-$B$12)+$B$7*$B$12))-65/100*(1-$B$12)/(1-(65/100*(1-$B$12)+$B$7*$B$12))*$B$14)),"—")</f>
        <v/>
      </c>
      <c r="F40" s="29">
        <f>IFERROR(IF(($B$9-$B$22-$B$23-$B$24-$B$25-6000/(1-(65/100*(1-$B$12)+$B$7*$B$12))-65/100*(1-$B$12)/(1-(65/100*(1-$B$12)+$B$7*$B$12))*$B$14)&lt;=0,"—",$B$16/($B$9-$B$22-$B$23-$B$24-$B$25-6000/(1-(65/100*(1-$B$12)+$B$7*$B$12))-65/100*(1-$B$12)/(1-(65/100*(1-$B$12)+$B$7*$B$12))*$B$14)),"—")</f>
        <v/>
      </c>
      <c r="G40" s="13" t="inlineStr"/>
    </row>
    <row r="41">
      <c r="A41" s="13" t="inlineStr">
        <is>
          <t>Синій рядок — як зараз. Зелена зона — де планка стає посильною: товару на місяць є близько 39 одиниць.</t>
        </is>
      </c>
      <c r="B41" s="19" t="n"/>
      <c r="C41" s="19" t="n"/>
      <c r="D41" s="19" t="n"/>
      <c r="E41" s="19" t="n"/>
      <c r="F41" s="19" t="n"/>
      <c r="G41" s="20" t="n"/>
    </row>
    <row r="43" ht="32" customHeight="1">
      <c r="A43" s="26" t="inlineStr">
        <is>
          <t>Читати так: зменшити зриви з 58% до 40% дешевше й швидше, ніж удвічі здешевити рекламу. Замір, відео на товар і часткова передоплата бʼють саме по зривах.</t>
        </is>
      </c>
      <c r="B43" s="19" t="n"/>
      <c r="C43" s="19" t="n"/>
      <c r="D43" s="19" t="n"/>
      <c r="E43" s="19" t="n"/>
      <c r="F43" s="19" t="n"/>
      <c r="G43" s="20" t="n"/>
    </row>
  </sheetData>
  <mergeCells count="8">
    <mergeCell ref="A32:G32"/>
    <mergeCell ref="A1:G1"/>
    <mergeCell ref="A18:G18"/>
    <mergeCell ref="A34:G34"/>
    <mergeCell ref="A4:G4"/>
    <mergeCell ref="A2:G2"/>
    <mergeCell ref="A43:G43"/>
    <mergeCell ref="A41:G41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J23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3" customWidth="1" min="4" max="4"/>
    <col width="14" customWidth="1" min="5" max="5"/>
    <col width="13" customWidth="1" min="6" max="6"/>
    <col width="16" customWidth="1" min="7" max="7"/>
    <col width="15" customWidth="1" min="8" max="8"/>
    <col width="15" customWidth="1" min="9" max="9"/>
    <col width="34" customWidth="1" min="10" max="10"/>
  </cols>
  <sheetData>
    <row r="1" ht="24" customHeight="1">
      <c r="A1" s="1" t="inlineStr">
        <is>
          <t>Production Plan — план виробництва</t>
        </is>
      </c>
    </row>
    <row r="2" ht="42" customHeight="1">
      <c r="A2" s="2" t="inlineStr">
        <is>
          <t>Наявність узята зі списку виробів у файлі «Літо собівартість» (Аркуш7) — за рішенням власниці цей список трактуємо як товар, що вже пошитий і лежить на складі. Потреба рахується під сценарій Base з аркуша Sales Plan.</t>
        </is>
      </c>
    </row>
    <row r="4" ht="32" customHeight="1">
      <c r="A4" s="4" t="inlineStr">
        <is>
          <t>SKU</t>
        </is>
      </c>
      <c r="B4" s="4" t="inlineStr">
        <is>
          <t>Є в наявності, шт</t>
        </is>
      </c>
      <c r="C4" s="4" t="inlineStr">
        <is>
          <t>Продано, шт</t>
        </is>
      </c>
      <c r="D4" s="4" t="inlineStr">
        <is>
          <t>Вироблено разом, шт</t>
        </is>
      </c>
      <c r="E4" s="4" t="inlineStr">
        <is>
          <t>Sell-through %</t>
        </is>
      </c>
      <c r="F4" s="4" t="inlineStr">
        <is>
          <t>Частка у продажах</t>
        </is>
      </c>
      <c r="G4" s="4" t="inlineStr">
        <is>
          <t>Потрібно/міс за планом Base, шт</t>
        </is>
      </c>
      <c r="H4" s="4" t="inlineStr">
        <is>
          <t>Потреба на 3 міс, шт</t>
        </is>
      </c>
      <c r="I4" s="4" t="inlineStr">
        <is>
          <t>До виробництва, шт</t>
        </is>
      </c>
      <c r="J4" s="4" t="inlineStr">
        <is>
          <t>Рішення</t>
        </is>
      </c>
    </row>
    <row r="5">
      <c r="A5" s="14" t="inlineStr">
        <is>
          <t>Кафтан оксамитовий</t>
        </is>
      </c>
      <c r="B5" s="79" t="n">
        <v>2</v>
      </c>
      <c r="C5" s="21" t="n">
        <v>18</v>
      </c>
      <c r="D5" s="21">
        <f>IF(B5="","",B5+C5)</f>
        <v/>
      </c>
      <c r="E5" s="22">
        <f>IF(OR(D5="",D5=0),"",C5/D5)</f>
        <v/>
      </c>
      <c r="F5" s="22">
        <f>IF(Sales!$C$11=0,0,C5/Sales!$C$11)</f>
        <v/>
      </c>
      <c r="G5" s="64">
        <f>IF('Sales Plan'!$C$7="","",'Sales Plan'!$C$7*F5)</f>
        <v/>
      </c>
      <c r="H5" s="64">
        <f>IF(G5="","",G5*3)</f>
        <v/>
      </c>
      <c r="I5" s="64">
        <f>IF(OR(H5="",B5=""),"",MAX(0,H5-B5))</f>
        <v/>
      </c>
      <c r="J5" s="13">
        <f>IF(B5="","заповніть наявність",IF(E5="","",IF(AND(E5&gt;=0.7,'SKU Economics'!E5&gt;=0.5),"дошивати — швидко продається і маржинальна",IF(E5&lt;0.3,"не повторювати — залежується",IF('SKU Economics'!E5&lt;0.4,"переглянути ціну або підрядника","тримати обсяг")))))</f>
        <v/>
      </c>
    </row>
    <row r="6">
      <c r="A6" s="14" t="inlineStr">
        <is>
          <t>Штани сатинові</t>
        </is>
      </c>
      <c r="B6" s="79" t="n">
        <v>3</v>
      </c>
      <c r="C6" s="21" t="n">
        <v>7</v>
      </c>
      <c r="D6" s="21">
        <f>IF(B6="","",B6+C6)</f>
        <v/>
      </c>
      <c r="E6" s="22">
        <f>IF(OR(D6="",D6=0),"",C6/D6)</f>
        <v/>
      </c>
      <c r="F6" s="22">
        <f>IF(Sales!$C$11=0,0,C6/Sales!$C$11)</f>
        <v/>
      </c>
      <c r="G6" s="64">
        <f>IF('Sales Plan'!$C$7="","",'Sales Plan'!$C$7*F6)</f>
        <v/>
      </c>
      <c r="H6" s="64">
        <f>IF(G6="","",G6*3)</f>
        <v/>
      </c>
      <c r="I6" s="64">
        <f>IF(OR(H6="",B6=""),"",MAX(0,H6-B6))</f>
        <v/>
      </c>
      <c r="J6" s="13">
        <f>IF(B6="","заповніть наявність",IF(E6="","",IF(AND(E6&gt;=0.7,'SKU Economics'!E6&gt;=0.5),"дошивати — швидко продається і маржинальна",IF(E6&lt;0.3,"не повторювати — залежується",IF('SKU Economics'!E6&lt;0.4,"переглянути ціну або підрядника","тримати обсяг")))))</f>
        <v/>
      </c>
    </row>
    <row r="7">
      <c r="A7" s="14" t="inlineStr">
        <is>
          <t>Жакет оксамитовий</t>
        </is>
      </c>
      <c r="B7" s="79" t="n">
        <v>3</v>
      </c>
      <c r="C7" s="21" t="n">
        <v>4</v>
      </c>
      <c r="D7" s="21">
        <f>IF(B7="","",B7+C7)</f>
        <v/>
      </c>
      <c r="E7" s="22">
        <f>IF(OR(D7="",D7=0),"",C7/D7)</f>
        <v/>
      </c>
      <c r="F7" s="22">
        <f>IF(Sales!$C$11=0,0,C7/Sales!$C$11)</f>
        <v/>
      </c>
      <c r="G7" s="64">
        <f>IF('Sales Plan'!$C$7="","",'Sales Plan'!$C$7*F7)</f>
        <v/>
      </c>
      <c r="H7" s="64">
        <f>IF(G7="","",G7*3)</f>
        <v/>
      </c>
      <c r="I7" s="64">
        <f>IF(OR(H7="",B7=""),"",MAX(0,H7-B7))</f>
        <v/>
      </c>
      <c r="J7" s="13">
        <f>IF(B7="","заповніть наявність",IF(E7="","",IF(AND(E7&gt;=0.7,'SKU Economics'!E7&gt;=0.5),"дошивати — швидко продається і маржинальна",IF(E7&lt;0.3,"не повторювати — залежується",IF('SKU Economics'!E7&lt;0.4,"переглянути ціну або підрядника","тримати обсяг")))))</f>
        <v/>
      </c>
    </row>
    <row r="8">
      <c r="A8" s="14" t="inlineStr">
        <is>
          <t>Штани оксамитові</t>
        </is>
      </c>
      <c r="B8" s="79" t="n">
        <v>3</v>
      </c>
      <c r="C8" s="21" t="n">
        <v>5</v>
      </c>
      <c r="D8" s="21">
        <f>IF(B8="","",B8+C8)</f>
        <v/>
      </c>
      <c r="E8" s="22">
        <f>IF(OR(D8="",D8=0),"",C8/D8)</f>
        <v/>
      </c>
      <c r="F8" s="22">
        <f>IF(Sales!$C$11=0,0,C8/Sales!$C$11)</f>
        <v/>
      </c>
      <c r="G8" s="64">
        <f>IF('Sales Plan'!$C$7="","",'Sales Plan'!$C$7*F8)</f>
        <v/>
      </c>
      <c r="H8" s="64">
        <f>IF(G8="","",G8*3)</f>
        <v/>
      </c>
      <c r="I8" s="64">
        <f>IF(OR(H8="",B8=""),"",MAX(0,H8-B8))</f>
        <v/>
      </c>
      <c r="J8" s="13">
        <f>IF(B8="","заповніть наявність",IF(E8="","",IF(AND(E8&gt;=0.7,'SKU Economics'!E8&gt;=0.5),"дошивати — швидко продається і маржинальна",IF(E8&lt;0.3,"не повторювати — залежується",IF('SKU Economics'!E8&lt;0.4,"переглянути ціну або підрядника","тримати обсяг")))))</f>
        <v/>
      </c>
    </row>
    <row r="9">
      <c r="A9" s="14" t="inlineStr">
        <is>
          <t>Блуза шовкова холтер</t>
        </is>
      </c>
      <c r="B9" s="79" t="n"/>
      <c r="C9" s="21" t="n">
        <v>8</v>
      </c>
      <c r="D9" s="21">
        <f>IF(B9="","",B9+C9)</f>
        <v/>
      </c>
      <c r="E9" s="22">
        <f>IF(OR(D9="",D9=0),"",C9/D9)</f>
        <v/>
      </c>
      <c r="F9" s="22">
        <f>IF(Sales!$C$11=0,0,C9/Sales!$C$11)</f>
        <v/>
      </c>
      <c r="G9" s="64">
        <f>IF('Sales Plan'!$C$7="","",'Sales Plan'!$C$7*F9)</f>
        <v/>
      </c>
      <c r="H9" s="64">
        <f>IF(G9="","",G9*3)</f>
        <v/>
      </c>
      <c r="I9" s="64">
        <f>IF(OR(H9="",B9=""),"",MAX(0,H9-B9))</f>
        <v/>
      </c>
      <c r="J9" s="13">
        <f>IF(B9="","заповніть наявність",IF(E9="","",IF(AND(E9&gt;=0.7,'SKU Economics'!E9&gt;=0.5),"дошивати — швидко продається і маржинальна",IF(E9&lt;0.3,"не повторювати — залежується",IF('SKU Economics'!E9&lt;0.4,"переглянути ціну або підрядника","тримати обсяг")))))</f>
        <v/>
      </c>
    </row>
    <row r="10">
      <c r="A10" s="14" t="inlineStr">
        <is>
          <t>Блуза шовкова лавальєр</t>
        </is>
      </c>
      <c r="B10" s="79" t="n"/>
      <c r="C10" s="21" t="n">
        <v>6</v>
      </c>
      <c r="D10" s="21">
        <f>IF(B10="","",B10+C10)</f>
        <v/>
      </c>
      <c r="E10" s="22">
        <f>IF(OR(D10="",D10=0),"",C10/D10)</f>
        <v/>
      </c>
      <c r="F10" s="22">
        <f>IF(Sales!$C$11=0,0,C10/Sales!$C$11)</f>
        <v/>
      </c>
      <c r="G10" s="64">
        <f>IF('Sales Plan'!$C$7="","",'Sales Plan'!$C$7*F10)</f>
        <v/>
      </c>
      <c r="H10" s="64">
        <f>IF(G10="","",G10*3)</f>
        <v/>
      </c>
      <c r="I10" s="64">
        <f>IF(OR(H10="",B10=""),"",MAX(0,H10-B10))</f>
        <v/>
      </c>
      <c r="J10" s="13">
        <f>IF(B10="","заповніть наявність",IF(E10="","",IF(AND(E10&gt;=0.7,'SKU Economics'!E10&gt;=0.5),"дошивати — швидко продається і маржинальна",IF(E10&lt;0.3,"не повторювати — залежується",IF('SKU Economics'!E10&lt;0.4,"переглянути ціну або підрядника","тримати обсяг")))))</f>
        <v/>
      </c>
    </row>
    <row r="11">
      <c r="A11" s="14" t="inlineStr">
        <is>
          <t>Блузон молочний</t>
        </is>
      </c>
      <c r="B11" s="79" t="n"/>
      <c r="C11" s="21" t="n">
        <v>2</v>
      </c>
      <c r="D11" s="21">
        <f>IF(B11="","",B11+C11)</f>
        <v/>
      </c>
      <c r="E11" s="22">
        <f>IF(OR(D11="",D11=0),"",C11/D11)</f>
        <v/>
      </c>
      <c r="F11" s="22">
        <f>IF(Sales!$C$11=0,0,C11/Sales!$C$11)</f>
        <v/>
      </c>
      <c r="G11" s="64">
        <f>IF('Sales Plan'!$C$7="","",'Sales Plan'!$C$7*F11)</f>
        <v/>
      </c>
      <c r="H11" s="64">
        <f>IF(G11="","",G11*3)</f>
        <v/>
      </c>
      <c r="I11" s="64">
        <f>IF(OR(H11="",B11=""),"",MAX(0,H11-B11))</f>
        <v/>
      </c>
      <c r="J11" s="13">
        <f>IF(B11="","заповніть наявність",IF(E11="","",IF(AND(E11&gt;=0.7,'SKU Economics'!E11&gt;=0.5),"дошивати — швидко продається і маржинальна",IF(E11&lt;0.3,"не повторювати — залежується",IF('SKU Economics'!E11&lt;0.4,"переглянути ціну або підрядника","тримати обсяг")))))</f>
        <v/>
      </c>
    </row>
    <row r="12">
      <c r="A12" s="14" t="inlineStr">
        <is>
          <t>Блуза шовкова холтер чорна</t>
        </is>
      </c>
      <c r="B12" s="79" t="n">
        <v>5</v>
      </c>
      <c r="C12" s="21" t="n">
        <v>2</v>
      </c>
      <c r="D12" s="21">
        <f>IF(B12="","",B12+C12)</f>
        <v/>
      </c>
      <c r="E12" s="22">
        <f>IF(OR(D12="",D12=0),"",C12/D12)</f>
        <v/>
      </c>
      <c r="F12" s="22">
        <f>IF(Sales!$C$11=0,0,C12/Sales!$C$11)</f>
        <v/>
      </c>
      <c r="G12" s="64">
        <f>IF('Sales Plan'!$C$7="","",'Sales Plan'!$C$7*F12)</f>
        <v/>
      </c>
      <c r="H12" s="64">
        <f>IF(G12="","",G12*3)</f>
        <v/>
      </c>
      <c r="I12" s="64">
        <f>IF(OR(H12="",B12=""),"",MAX(0,H12-B12))</f>
        <v/>
      </c>
      <c r="J12" s="13">
        <f>IF(B12="","заповніть наявність",IF(E12="","",IF(AND(E12&gt;=0.7,'SKU Economics'!E12&gt;=0.5),"дошивати — швидко продається і маржинальна",IF(E12&lt;0.3,"не повторювати — залежується",IF('SKU Economics'!E12&lt;0.4,"переглянути ціну або підрядника","тримати обсяг")))))</f>
        <v/>
      </c>
    </row>
    <row r="13">
      <c r="A13" s="14" t="inlineStr">
        <is>
          <t>Сукня оксамитова максі</t>
        </is>
      </c>
      <c r="B13" s="79" t="n">
        <v>1</v>
      </c>
      <c r="C13" s="21" t="n">
        <v>1</v>
      </c>
      <c r="D13" s="21">
        <f>IF(B13="","",B13+C13)</f>
        <v/>
      </c>
      <c r="E13" s="22">
        <f>IF(OR(D13="",D13=0),"",C13/D13)</f>
        <v/>
      </c>
      <c r="F13" s="22">
        <f>IF(Sales!$C$11=0,0,C13/Sales!$C$11)</f>
        <v/>
      </c>
      <c r="G13" s="64">
        <f>IF('Sales Plan'!$C$7="","",'Sales Plan'!$C$7*F13)</f>
        <v/>
      </c>
      <c r="H13" s="64">
        <f>IF(G13="","",G13*3)</f>
        <v/>
      </c>
      <c r="I13" s="64">
        <f>IF(OR(H13="",B13=""),"",MAX(0,H13-B13))</f>
        <v/>
      </c>
      <c r="J13" s="13">
        <f>IF(B13="","заповніть наявність",IF(E13="","",IF(AND(E13&gt;=0.7,'SKU Economics'!E13&gt;=0.5),"дошивати — швидко продається і маржинальна",IF(E13&lt;0.3,"не повторювати — залежується",IF('SKU Economics'!E13&lt;0.4,"переглянути ціну або підрядника","тримати обсяг")))))</f>
        <v/>
      </c>
    </row>
    <row r="14">
      <c r="A14" s="14" t="inlineStr">
        <is>
          <t>Спідниця оксамитова міді</t>
        </is>
      </c>
      <c r="B14" s="79" t="n"/>
      <c r="C14" s="21" t="n">
        <v>1</v>
      </c>
      <c r="D14" s="21">
        <f>IF(B14="","",B14+C14)</f>
        <v/>
      </c>
      <c r="E14" s="22">
        <f>IF(OR(D14="",D14=0),"",C14/D14)</f>
        <v/>
      </c>
      <c r="F14" s="22">
        <f>IF(Sales!$C$11=0,0,C14/Sales!$C$11)</f>
        <v/>
      </c>
      <c r="G14" s="64">
        <f>IF('Sales Plan'!$C$7="","",'Sales Plan'!$C$7*F14)</f>
        <v/>
      </c>
      <c r="H14" s="64">
        <f>IF(G14="","",G14*3)</f>
        <v/>
      </c>
      <c r="I14" s="64">
        <f>IF(OR(H14="",B14=""),"",MAX(0,H14-B14))</f>
        <v/>
      </c>
      <c r="J14" s="13">
        <f>IF(B14="","заповніть наявність",IF(E14="","",IF(AND(E14&gt;=0.7,'SKU Economics'!E14&gt;=0.5),"дошивати — швидко продається і маржинальна",IF(E14&lt;0.3,"не повторювати — залежується",IF('SKU Economics'!E14&lt;0.4,"переглянути ціну або підрядника","тримати обсяг")))))</f>
        <v/>
      </c>
    </row>
    <row r="15">
      <c r="A15" s="23" t="inlineStr">
        <is>
          <t>РАЗОМ</t>
        </is>
      </c>
      <c r="B15" s="24">
        <f>SUM(B5:B14)</f>
        <v/>
      </c>
      <c r="C15" s="24">
        <f>SUM(C5:C14)</f>
        <v/>
      </c>
      <c r="D15" s="24">
        <f>SUM(D5:D14)</f>
        <v/>
      </c>
      <c r="E15" s="25">
        <f>IF(D15=0,"",SUMPRODUCT((B5:B14&lt;&gt;"")*(C5:C14))/D15)</f>
        <v/>
      </c>
      <c r="F15" s="25">
        <f>SUM(F5:F14)</f>
        <v/>
      </c>
      <c r="G15" s="24">
        <f>SUM(G5:G14)</f>
        <v/>
      </c>
      <c r="H15" s="24">
        <f>SUM(H5:H14)</f>
        <v/>
      </c>
      <c r="I15" s="24">
        <f>SUM(I5:I14)</f>
        <v/>
      </c>
    </row>
    <row r="17">
      <c r="A17" s="3" t="inlineStr">
        <is>
          <t>Грошова потреба у виробництві</t>
        </is>
      </c>
    </row>
    <row r="18">
      <c r="A18" s="5" t="inlineStr">
        <is>
          <t>Собівартість виробництва на 3 місяці, грн</t>
        </is>
      </c>
      <c r="B18" s="24">
        <f>SUMPRODUCT(I5:I14,'Собівартість'!E5:E14)</f>
        <v/>
      </c>
      <c r="D18" s="13" t="inlineStr">
        <is>
          <t>Скільки вкласти у тканину, пошиття і фурнітуру, щоб закрити план Base</t>
        </is>
      </c>
    </row>
    <row r="19">
      <c r="A19" s="5" t="inlineStr">
        <is>
          <t>У середньому на місяць, грн</t>
        </is>
      </c>
      <c r="B19" s="27">
        <f>B18/3</f>
        <v/>
      </c>
      <c r="D19" s="13" t="inlineStr">
        <is>
          <t>Порівняйте з фактом: аркуш Cash Flow, рядок «Собівартість»</t>
        </is>
      </c>
    </row>
    <row r="21" ht="32" customHeight="1">
      <c r="A21" s="26" t="inlineStr">
        <is>
          <t>Наявність: поточна колекція — 17 одиниць (кафтан, жакет, оксамитові та сатинові штани, сукня, чорний холтер), літня колекція — 12 одиниць (костюм і три сукні, вони на окремому аркуші). Разом 29. Sell-through рахується від суми наявного і вже проданого.</t>
        </is>
      </c>
      <c r="B21" s="19" t="n"/>
      <c r="C21" s="19" t="n"/>
      <c r="D21" s="19" t="n"/>
      <c r="E21" s="19" t="n"/>
      <c r="F21" s="19" t="n"/>
      <c r="G21" s="19" t="n"/>
      <c r="H21" s="19" t="n"/>
      <c r="I21" s="19" t="n"/>
      <c r="J21" s="20" t="n"/>
    </row>
    <row r="23" ht="32" customHeight="1">
      <c r="A23" s="33" t="inlineStr">
        <is>
          <t>Правила в колонці «Рішення»: sell-through від 70% і маржа від 50% — дошивати; sell-through нижче 30% — не повторювати; маржа нижче 40% — переглянути ціну або підрядника. Пороги можна змінити прямо у формулі.</t>
        </is>
      </c>
      <c r="B23" s="19" t="n"/>
      <c r="C23" s="19" t="n"/>
      <c r="D23" s="19" t="n"/>
      <c r="E23" s="19" t="n"/>
      <c r="F23" s="19" t="n"/>
      <c r="G23" s="19" t="n"/>
      <c r="H23" s="19" t="n"/>
      <c r="I23" s="19" t="n"/>
      <c r="J23" s="20" t="n"/>
    </row>
  </sheetData>
  <mergeCells count="5">
    <mergeCell ref="A1:J1"/>
    <mergeCell ref="A23:J23"/>
    <mergeCell ref="A17:J17"/>
    <mergeCell ref="A21:J21"/>
    <mergeCell ref="A2:J2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K4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4" customWidth="1" min="8" max="8"/>
    <col width="16" customWidth="1" min="9" max="9"/>
    <col width="16" customWidth="1" min="10" max="10"/>
    <col width="40" customWidth="1" min="11" max="11"/>
  </cols>
  <sheetData>
    <row r="1" ht="24" customHeight="1">
      <c r="A1" s="1" t="inlineStr">
        <is>
          <t>Виробництво — що є, що шиється, що дошити</t>
        </is>
      </c>
    </row>
    <row r="2" ht="42" customHeight="1">
      <c r="A2" s="2" t="inlineStr">
        <is>
          <t>Джерело: файл бренду «производство.xlsx». Готове на складі, у роботі в підрядників і дошив по виробничій матриці. Нові розцінки підрядників уже враховані там, де вони є.</t>
        </is>
      </c>
    </row>
    <row r="4">
      <c r="A4" s="3" t="inlineStr">
        <is>
          <t>Готове на складі — 53 одиниць</t>
        </is>
      </c>
    </row>
    <row r="5" ht="32" customHeight="1">
      <c r="A5" s="4" t="inlineStr">
        <is>
          <t>Модель</t>
        </is>
      </c>
      <c r="B5" s="4" t="inlineStr">
        <is>
          <t>S</t>
        </is>
      </c>
      <c r="C5" s="4" t="inlineStr">
        <is>
          <t>M</t>
        </is>
      </c>
      <c r="D5" s="4" t="inlineStr">
        <is>
          <t>L</t>
        </is>
      </c>
      <c r="E5" s="4" t="inlineStr">
        <is>
          <t>Разом</t>
        </is>
      </c>
      <c r="F5" s="4" t="inlineStr"/>
      <c r="G5" s="4" t="inlineStr"/>
      <c r="H5" s="4" t="inlineStr">
        <is>
          <t>Собівартість/од</t>
        </is>
      </c>
      <c r="I5" s="4" t="inlineStr">
        <is>
          <t>Вартість запасу</t>
        </is>
      </c>
      <c r="J5" s="4" t="inlineStr"/>
      <c r="K5" s="4" t="inlineStr">
        <is>
          <t>Коментар</t>
        </is>
      </c>
    </row>
    <row r="6">
      <c r="A6" s="14" t="inlineStr">
        <is>
          <t>Блуза шовкова лавальєр</t>
        </is>
      </c>
      <c r="B6" s="21" t="n">
        <v>5</v>
      </c>
      <c r="C6" s="21" t="n">
        <v>3</v>
      </c>
      <c r="D6" s="21" t="n">
        <v>1</v>
      </c>
      <c r="E6" s="27" t="n">
        <v>9</v>
      </c>
      <c r="H6" s="54" t="n">
        <v>2460.11</v>
      </c>
      <c r="I6" s="27">
        <f>E6*H6</f>
        <v/>
      </c>
      <c r="K6" s="13" t="inlineStr">
        <is>
          <t>нова ціна</t>
        </is>
      </c>
    </row>
    <row r="7">
      <c r="A7" s="14" t="inlineStr">
        <is>
          <t>Блуза шовкова холтер</t>
        </is>
      </c>
      <c r="B7" s="21" t="n">
        <v>2</v>
      </c>
      <c r="C7" s="21" t="n">
        <v>2</v>
      </c>
      <c r="D7" s="21" t="n">
        <v>3</v>
      </c>
      <c r="E7" s="27" t="n">
        <v>7</v>
      </c>
      <c r="H7" s="54" t="n">
        <v>2601.72</v>
      </c>
      <c r="I7" s="27">
        <f>E7*H7</f>
        <v/>
      </c>
      <c r="K7" s="13" t="inlineStr">
        <is>
          <t>файл націнки</t>
        </is>
      </c>
    </row>
    <row r="8">
      <c r="A8" s="14" t="inlineStr">
        <is>
          <t>Жакет оксамитовий</t>
        </is>
      </c>
      <c r="B8" s="21" t="n">
        <v>6</v>
      </c>
      <c r="C8" s="21" t="n">
        <v>4</v>
      </c>
      <c r="D8" s="21" t="n">
        <v>1</v>
      </c>
      <c r="E8" s="27" t="n">
        <v>11</v>
      </c>
      <c r="H8" s="54" t="n">
        <v>6830.95</v>
      </c>
      <c r="I8" s="27">
        <f>E8*H8</f>
        <v/>
      </c>
      <c r="K8" s="13" t="inlineStr">
        <is>
          <t>нова ціна</t>
        </is>
      </c>
    </row>
    <row r="9">
      <c r="A9" s="14" t="inlineStr">
        <is>
          <t>Кафтан оксамитовий</t>
        </is>
      </c>
      <c r="B9" s="21" t="n">
        <v>1</v>
      </c>
      <c r="C9" s="21" t="n">
        <v>1</v>
      </c>
      <c r="D9" s="21" t="n">
        <v>0</v>
      </c>
      <c r="E9" s="27" t="n">
        <v>2</v>
      </c>
      <c r="H9" s="54" t="n">
        <v>7824.87</v>
      </c>
      <c r="I9" s="27">
        <f>E9*H9</f>
        <v/>
      </c>
      <c r="K9" s="13" t="inlineStr">
        <is>
          <t>файл націнки</t>
        </is>
      </c>
    </row>
    <row r="10">
      <c r="A10" s="14" t="inlineStr">
        <is>
          <t>Спідниця оксамитова</t>
        </is>
      </c>
      <c r="B10" s="21" t="n">
        <v>2</v>
      </c>
      <c r="C10" s="21" t="n">
        <v>2</v>
      </c>
      <c r="D10" s="21" t="n">
        <v>1</v>
      </c>
      <c r="E10" s="27" t="n">
        <v>5</v>
      </c>
      <c r="H10" s="54" t="n">
        <v>2574.8</v>
      </c>
      <c r="I10" s="27">
        <f>E10*H10</f>
        <v/>
      </c>
      <c r="K10" s="13" t="inlineStr">
        <is>
          <t>файл націнки</t>
        </is>
      </c>
    </row>
    <row r="11">
      <c r="A11" s="14" t="inlineStr">
        <is>
          <t>Сукня оксамитова максі</t>
        </is>
      </c>
      <c r="B11" s="21" t="n">
        <v>1</v>
      </c>
      <c r="C11" s="21" t="n">
        <v>3</v>
      </c>
      <c r="D11" s="21" t="n">
        <v>0</v>
      </c>
      <c r="E11" s="27" t="n">
        <v>4</v>
      </c>
      <c r="H11" s="54" t="n">
        <v>4519.7</v>
      </c>
      <c r="I11" s="27">
        <f>E11*H11</f>
        <v/>
      </c>
      <c r="K11" s="13" t="inlineStr">
        <is>
          <t>файл націнки</t>
        </is>
      </c>
    </row>
    <row r="12">
      <c r="A12" s="14" t="inlineStr">
        <is>
          <t>Штани оксамитові</t>
        </is>
      </c>
      <c r="B12" s="21" t="n">
        <v>5</v>
      </c>
      <c r="C12" s="21" t="n">
        <v>4</v>
      </c>
      <c r="D12" s="21" t="n">
        <v>1</v>
      </c>
      <c r="E12" s="27" t="n">
        <v>10</v>
      </c>
      <c r="H12" s="54" t="n">
        <v>2985.07</v>
      </c>
      <c r="I12" s="27">
        <f>E12*H12</f>
        <v/>
      </c>
      <c r="K12" s="13" t="inlineStr">
        <is>
          <t>файл націнки</t>
        </is>
      </c>
    </row>
    <row r="13">
      <c r="A13" s="14" t="inlineStr">
        <is>
          <t>Штани сатинові</t>
        </is>
      </c>
      <c r="B13" s="21" t="n">
        <v>2</v>
      </c>
      <c r="C13" s="21" t="n">
        <v>2</v>
      </c>
      <c r="D13" s="21" t="n">
        <v>1</v>
      </c>
      <c r="E13" s="27" t="n">
        <v>5</v>
      </c>
      <c r="H13" s="54" t="n">
        <v>4020.8</v>
      </c>
      <c r="I13" s="27">
        <f>E13*H13</f>
        <v/>
      </c>
      <c r="K13" s="13" t="inlineStr">
        <is>
          <t>нова ціна</t>
        </is>
      </c>
    </row>
    <row r="14">
      <c r="A14" s="23" t="inlineStr">
        <is>
          <t>РАЗОМ на складі</t>
        </is>
      </c>
      <c r="B14" s="24">
        <f>SUM(B6:B13)</f>
        <v/>
      </c>
      <c r="C14" s="24">
        <f>SUM(C6:C13)</f>
        <v/>
      </c>
      <c r="D14" s="24">
        <f>SUM(D6:D13)</f>
        <v/>
      </c>
      <c r="E14" s="24">
        <f>SUM(E6:E13)</f>
        <v/>
      </c>
      <c r="I14" s="24">
        <f>SUM(I6:I13)</f>
        <v/>
      </c>
    </row>
    <row r="16">
      <c r="A16" s="3" t="inlineStr">
        <is>
          <t>У роботі в підрядників — 65 одиниць</t>
        </is>
      </c>
    </row>
    <row r="17" ht="32" customHeight="1">
      <c r="A17" s="4" t="inlineStr">
        <is>
          <t>Модель</t>
        </is>
      </c>
      <c r="B17" s="4" t="inlineStr">
        <is>
          <t>S</t>
        </is>
      </c>
      <c r="C17" s="4" t="inlineStr">
        <is>
          <t>M</t>
        </is>
      </c>
      <c r="D17" s="4" t="inlineStr">
        <is>
          <t>L</t>
        </is>
      </c>
      <c r="E17" s="4" t="inlineStr">
        <is>
          <t>Разом</t>
        </is>
      </c>
      <c r="F17" s="4" t="inlineStr">
        <is>
          <t>Петро</t>
        </is>
      </c>
      <c r="G17" s="4" t="inlineStr">
        <is>
          <t>Катя</t>
        </is>
      </c>
      <c r="H17" s="4" t="inlineStr">
        <is>
          <t>Собівартість/од</t>
        </is>
      </c>
      <c r="I17" s="4" t="inlineStr">
        <is>
          <t>Вартість</t>
        </is>
      </c>
      <c r="J17" s="4" t="inlineStr">
        <is>
          <t>Економія на нових цінах</t>
        </is>
      </c>
      <c r="K17" s="4" t="inlineStr">
        <is>
          <t>Коментар</t>
        </is>
      </c>
    </row>
    <row r="18">
      <c r="A18" s="14" t="inlineStr">
        <is>
          <t>Жакет-блузон</t>
        </is>
      </c>
      <c r="B18" s="21" t="n">
        <v>3</v>
      </c>
      <c r="C18" s="21" t="n">
        <v>5</v>
      </c>
      <c r="D18" s="21" t="n">
        <v>2</v>
      </c>
      <c r="E18" s="27" t="n">
        <v>10</v>
      </c>
      <c r="F18" s="21" t="n">
        <v>0</v>
      </c>
      <c r="G18" s="21" t="n">
        <v>10</v>
      </c>
      <c r="H18" s="54" t="n">
        <v>5549.77</v>
      </c>
      <c r="I18" s="27">
        <f>E18*H18</f>
        <v/>
      </c>
      <c r="J18" s="30" t="n"/>
      <c r="K18" s="13" t="inlineStr">
        <is>
          <t>вивід із CRM</t>
        </is>
      </c>
    </row>
    <row r="19">
      <c r="A19" s="14" t="inlineStr">
        <is>
          <t>Блуза молочна</t>
        </is>
      </c>
      <c r="B19" s="21" t="n">
        <v>5</v>
      </c>
      <c r="C19" s="21" t="n">
        <v>7</v>
      </c>
      <c r="D19" s="21" t="n">
        <v>3</v>
      </c>
      <c r="E19" s="27" t="n">
        <v>15</v>
      </c>
      <c r="F19" s="21" t="n">
        <v>0</v>
      </c>
      <c r="G19" s="21" t="n">
        <v>15</v>
      </c>
      <c r="H19" s="54" t="n">
        <v>2601.72</v>
      </c>
      <c r="I19" s="27">
        <f>E19*H19</f>
        <v/>
      </c>
      <c r="J19" s="30" t="n"/>
      <c r="K19" s="13" t="inlineStr">
        <is>
          <t>файл націнки</t>
        </is>
      </c>
    </row>
    <row r="20">
      <c r="A20" s="14" t="inlineStr">
        <is>
          <t>Блуза чорна</t>
        </is>
      </c>
      <c r="B20" s="21" t="n">
        <v>3</v>
      </c>
      <c r="C20" s="21" t="n">
        <v>5</v>
      </c>
      <c r="D20" s="21" t="n">
        <v>2</v>
      </c>
      <c r="E20" s="27" t="n">
        <v>10</v>
      </c>
      <c r="F20" s="21" t="n">
        <v>0</v>
      </c>
      <c r="G20" s="21" t="n">
        <v>10</v>
      </c>
      <c r="H20" s="54" t="n">
        <v>3201.72</v>
      </c>
      <c r="I20" s="27">
        <f>E20*H20</f>
        <v/>
      </c>
      <c r="J20" s="80" t="n">
        <v>11140.50000000001</v>
      </c>
      <c r="K20" s="13" t="inlineStr">
        <is>
          <t>було 4 316 → 3 202</t>
        </is>
      </c>
    </row>
    <row r="21">
      <c r="A21" s="14" t="inlineStr">
        <is>
          <t>Штани чорні</t>
        </is>
      </c>
      <c r="B21" s="21" t="n">
        <v>3</v>
      </c>
      <c r="C21" s="21" t="n">
        <v>5</v>
      </c>
      <c r="D21" s="21" t="n">
        <v>2</v>
      </c>
      <c r="E21" s="27" t="n">
        <v>10</v>
      </c>
      <c r="F21" s="21" t="n">
        <v>0</v>
      </c>
      <c r="G21" s="21" t="n">
        <v>10</v>
      </c>
      <c r="H21" s="54" t="n">
        <v>4020.8</v>
      </c>
      <c r="I21" s="27">
        <f>E21*H21</f>
        <v/>
      </c>
      <c r="J21" s="80" t="n">
        <v>-5000</v>
      </c>
      <c r="K21" s="13" t="inlineStr">
        <is>
          <t>було 3 521 → 4 021</t>
        </is>
      </c>
    </row>
    <row r="22">
      <c r="A22" s="14" t="inlineStr">
        <is>
          <t>Штани сатинові</t>
        </is>
      </c>
      <c r="B22" s="21" t="n">
        <v>2</v>
      </c>
      <c r="C22" s="21" t="n">
        <v>2</v>
      </c>
      <c r="D22" s="21" t="n">
        <v>1</v>
      </c>
      <c r="E22" s="27" t="n">
        <v>5</v>
      </c>
      <c r="F22" s="21" t="n">
        <v>0</v>
      </c>
      <c r="G22" s="21" t="n">
        <v>5</v>
      </c>
      <c r="H22" s="54" t="n">
        <v>4020.8</v>
      </c>
      <c r="I22" s="27">
        <f>E22*H22</f>
        <v/>
      </c>
      <c r="J22" s="80" t="n">
        <v>-2500</v>
      </c>
      <c r="K22" s="13" t="inlineStr">
        <is>
          <t>було 3 521 → 4 021</t>
        </is>
      </c>
    </row>
    <row r="23">
      <c r="A23" s="14" t="inlineStr">
        <is>
          <t>Сукня Bias</t>
        </is>
      </c>
      <c r="B23" s="21" t="n">
        <v>3</v>
      </c>
      <c r="C23" s="21" t="n">
        <v>5</v>
      </c>
      <c r="D23" s="21" t="n">
        <v>2</v>
      </c>
      <c r="E23" s="27" t="n">
        <v>10</v>
      </c>
      <c r="F23" s="21" t="n">
        <v>10</v>
      </c>
      <c r="G23" s="21" t="n">
        <v>0</v>
      </c>
      <c r="H23" s="54" t="n">
        <v>4500</v>
      </c>
      <c r="I23" s="27">
        <f>E23*H23</f>
        <v/>
      </c>
      <c r="J23" s="30" t="n"/>
      <c r="K23" s="13" t="inlineStr">
        <is>
          <t>оцінка — уточнити</t>
        </is>
      </c>
    </row>
    <row r="24">
      <c r="A24" s="14" t="inlineStr">
        <is>
          <t>Халат</t>
        </is>
      </c>
      <c r="B24" s="21" t="n">
        <v>2</v>
      </c>
      <c r="C24" s="21" t="n">
        <v>2</v>
      </c>
      <c r="D24" s="21" t="n">
        <v>1</v>
      </c>
      <c r="E24" s="27" t="n">
        <v>5</v>
      </c>
      <c r="F24" s="21" t="n">
        <v>5</v>
      </c>
      <c r="G24" s="21" t="n">
        <v>0</v>
      </c>
      <c r="H24" s="54" t="n">
        <v>7824.87</v>
      </c>
      <c r="I24" s="27">
        <f>E24*H24</f>
        <v/>
      </c>
      <c r="J24" s="30" t="n"/>
      <c r="K24" s="13" t="inlineStr">
        <is>
          <t>файл націнки</t>
        </is>
      </c>
    </row>
    <row r="25">
      <c r="A25" s="23" t="inlineStr">
        <is>
          <t>РАЗОМ у роботі</t>
        </is>
      </c>
      <c r="B25" s="24">
        <f>SUM(B18:B24)</f>
        <v/>
      </c>
      <c r="C25" s="24">
        <f>SUM(C18:C24)</f>
        <v/>
      </c>
      <c r="D25" s="24">
        <f>SUM(D18:D24)</f>
        <v/>
      </c>
      <c r="E25" s="24">
        <f>SUM(E18:E24)</f>
        <v/>
      </c>
      <c r="F25" s="24">
        <f>SUM(F18:F24)</f>
        <v/>
      </c>
      <c r="G25" s="24">
        <f>SUM(G18:G24)</f>
        <v/>
      </c>
      <c r="I25" s="24">
        <f>SUM(I18:I24)</f>
        <v/>
      </c>
      <c r="J25" s="24">
        <f>SUM(J18:J24)</f>
        <v/>
      </c>
    </row>
    <row r="27">
      <c r="A27" s="3" t="inlineStr">
        <is>
          <t>Дошити за виробничою матрицею — 16 одиниць</t>
        </is>
      </c>
    </row>
    <row r="28" ht="32" customHeight="1">
      <c r="A28" s="4" t="inlineStr">
        <is>
          <t>Модель</t>
        </is>
      </c>
      <c r="B28" s="4" t="inlineStr">
        <is>
          <t>S</t>
        </is>
      </c>
      <c r="C28" s="4" t="inlineStr">
        <is>
          <t>M</t>
        </is>
      </c>
      <c r="D28" s="4" t="inlineStr">
        <is>
          <t>L</t>
        </is>
      </c>
      <c r="E28" s="4" t="inlineStr">
        <is>
          <t>На сьогодні</t>
        </is>
      </c>
      <c r="F28" s="4" t="inlineStr">
        <is>
          <t>Дошити</t>
        </is>
      </c>
      <c r="G28" s="4" t="inlineStr">
        <is>
          <t>Разом</t>
        </is>
      </c>
      <c r="H28" s="4" t="inlineStr">
        <is>
          <t>Собівартість/од</t>
        </is>
      </c>
      <c r="I28" s="4" t="inlineStr">
        <is>
          <t>Бюджет дошиву</t>
        </is>
      </c>
      <c r="J28" s="4" t="inlineStr"/>
      <c r="K28" s="4" t="inlineStr">
        <is>
          <t>Коментар</t>
        </is>
      </c>
    </row>
    <row r="29">
      <c r="A29" s="14" t="inlineStr">
        <is>
          <t>Кафтан</t>
        </is>
      </c>
      <c r="B29" s="21" t="n">
        <v>2</v>
      </c>
      <c r="C29" s="21" t="n">
        <v>4</v>
      </c>
      <c r="D29" s="21" t="n"/>
      <c r="E29" s="21" t="n">
        <v>7</v>
      </c>
      <c r="F29" s="27" t="n">
        <v>6</v>
      </c>
      <c r="G29" s="21" t="n">
        <v>13</v>
      </c>
      <c r="H29" s="54" t="n">
        <v>7824.87</v>
      </c>
      <c r="I29" s="27">
        <f>F29*H29</f>
        <v/>
      </c>
      <c r="K29" s="13" t="inlineStr">
        <is>
          <t>файл націнки</t>
        </is>
      </c>
    </row>
    <row r="30">
      <c r="A30" s="14" t="inlineStr">
        <is>
          <t>Сукня Bias</t>
        </is>
      </c>
      <c r="B30" s="21" t="n">
        <v>1</v>
      </c>
      <c r="C30" s="21" t="n">
        <v>3</v>
      </c>
      <c r="D30" s="21" t="n">
        <v>1</v>
      </c>
      <c r="E30" s="21" t="n">
        <v>10</v>
      </c>
      <c r="F30" s="27" t="n">
        <v>5</v>
      </c>
      <c r="G30" s="21" t="n">
        <v>15</v>
      </c>
      <c r="H30" s="54" t="n">
        <v>4500</v>
      </c>
      <c r="I30" s="27">
        <f>F30*H30</f>
        <v/>
      </c>
      <c r="K30" s="13" t="inlineStr">
        <is>
          <t>оцінка — уточнити</t>
        </is>
      </c>
    </row>
    <row r="31">
      <c r="A31" s="14" t="inlineStr">
        <is>
          <t>Жакет-блузон</t>
        </is>
      </c>
      <c r="B31" s="21" t="n">
        <v>1</v>
      </c>
      <c r="C31" s="21" t="n">
        <v>3</v>
      </c>
      <c r="D31" s="21" t="n">
        <v>1</v>
      </c>
      <c r="E31" s="21" t="n">
        <v>10</v>
      </c>
      <c r="F31" s="27" t="n">
        <v>5</v>
      </c>
      <c r="G31" s="21" t="n">
        <v>15</v>
      </c>
      <c r="H31" s="54" t="n">
        <v>5549.77</v>
      </c>
      <c r="I31" s="27">
        <f>F31*H31</f>
        <v/>
      </c>
      <c r="K31" s="13" t="inlineStr">
        <is>
          <t>вивід із CRM</t>
        </is>
      </c>
    </row>
    <row r="32">
      <c r="A32" s="14" t="inlineStr">
        <is>
          <t>Блуза молочна</t>
        </is>
      </c>
      <c r="B32" s="21" t="n"/>
      <c r="C32" s="21" t="n"/>
      <c r="D32" s="21" t="n"/>
      <c r="E32" s="21" t="n">
        <v>15</v>
      </c>
      <c r="F32" s="27" t="n">
        <v>0</v>
      </c>
      <c r="G32" s="21" t="n">
        <v>15</v>
      </c>
      <c r="H32" s="54" t="n">
        <v>2601.72</v>
      </c>
      <c r="I32" s="27">
        <f>F32*H32</f>
        <v/>
      </c>
      <c r="K32" s="13" t="inlineStr">
        <is>
          <t>файл націнки</t>
        </is>
      </c>
    </row>
    <row r="33">
      <c r="A33" s="14" t="inlineStr">
        <is>
          <t>Блуза чорна</t>
        </is>
      </c>
      <c r="B33" s="21" t="n"/>
      <c r="C33" s="21" t="n"/>
      <c r="D33" s="21" t="n"/>
      <c r="E33" s="21" t="n">
        <v>10</v>
      </c>
      <c r="F33" s="27" t="n">
        <v>0</v>
      </c>
      <c r="G33" s="21" t="n">
        <v>10</v>
      </c>
      <c r="H33" s="54" t="n">
        <v>3201.72</v>
      </c>
      <c r="I33" s="27">
        <f>F33*H33</f>
        <v/>
      </c>
      <c r="K33" s="13" t="inlineStr">
        <is>
          <t>нова ціна</t>
        </is>
      </c>
    </row>
    <row r="34">
      <c r="A34" s="14" t="inlineStr">
        <is>
          <t>Штани чорні</t>
        </is>
      </c>
      <c r="B34" s="21" t="n"/>
      <c r="C34" s="21" t="n"/>
      <c r="D34" s="21" t="n"/>
      <c r="E34" s="21" t="n">
        <v>10</v>
      </c>
      <c r="F34" s="27" t="n">
        <v>0</v>
      </c>
      <c r="G34" s="21" t="n">
        <v>10</v>
      </c>
      <c r="H34" s="54" t="n">
        <v>4020.8</v>
      </c>
      <c r="I34" s="27">
        <f>F34*H34</f>
        <v/>
      </c>
      <c r="K34" s="13" t="inlineStr">
        <is>
          <t>нова ціна</t>
        </is>
      </c>
    </row>
    <row r="35">
      <c r="A35" s="14" t="inlineStr">
        <is>
          <t>Штани сатинові</t>
        </is>
      </c>
      <c r="B35" s="21" t="n"/>
      <c r="C35" s="21" t="n"/>
      <c r="D35" s="21" t="n"/>
      <c r="E35" s="21" t="n">
        <v>5</v>
      </c>
      <c r="F35" s="27" t="n">
        <v>0</v>
      </c>
      <c r="G35" s="21" t="n">
        <v>5</v>
      </c>
      <c r="H35" s="54" t="n">
        <v>4020.8</v>
      </c>
      <c r="I35" s="27">
        <f>F35*H35</f>
        <v/>
      </c>
      <c r="K35" s="13" t="inlineStr">
        <is>
          <t>нова ціна</t>
        </is>
      </c>
    </row>
    <row r="36">
      <c r="A36" s="23" t="inlineStr">
        <is>
          <t>РАЗОМ дошити</t>
        </is>
      </c>
      <c r="E36" s="24">
        <f>SUM(E29:E35)</f>
        <v/>
      </c>
      <c r="F36" s="24">
        <f>SUM(F29:F35)</f>
        <v/>
      </c>
      <c r="G36" s="24">
        <f>SUM(G29:G35)</f>
        <v/>
      </c>
      <c r="I36" s="24">
        <f>SUM(I29:I35)</f>
        <v/>
      </c>
    </row>
    <row r="38">
      <c r="A38" s="3" t="inlineStr">
        <is>
          <t>Скільки ще треба заплатити за виробництво</t>
        </is>
      </c>
    </row>
    <row r="39" ht="32" customHeight="1">
      <c r="A39" s="4" t="inlineStr">
        <is>
          <t>Показник</t>
        </is>
      </c>
      <c r="B39" s="4" t="inlineStr">
        <is>
          <t>Одиниць</t>
        </is>
      </c>
      <c r="C39" s="4" t="inlineStr"/>
      <c r="D39" s="4" t="inlineStr"/>
      <c r="E39" s="4" t="inlineStr">
        <is>
          <t>Грн</t>
        </is>
      </c>
      <c r="F39" s="4" t="inlineStr"/>
      <c r="G39" s="4" t="inlineStr"/>
      <c r="H39" s="4" t="inlineStr"/>
      <c r="I39" s="4" t="inlineStr"/>
      <c r="J39" s="4" t="inlineStr"/>
      <c r="K39" s="4" t="inlineStr">
        <is>
          <t>Коментар</t>
        </is>
      </c>
    </row>
    <row r="40">
      <c r="A40" s="5" t="inlineStr">
        <is>
          <t>У роботі в підрядників</t>
        </is>
      </c>
      <c r="B40" s="27">
        <f>E25</f>
        <v/>
      </c>
      <c r="E40" s="27">
        <f>I25</f>
        <v/>
      </c>
      <c r="K40" s="13" t="inlineStr">
        <is>
          <t>Уже запущено, гроші треба буде віддати</t>
        </is>
      </c>
    </row>
    <row r="41">
      <c r="A41" s="5" t="inlineStr">
        <is>
          <t>Дошити</t>
        </is>
      </c>
      <c r="B41" s="27">
        <f>F36</f>
        <v/>
      </c>
      <c r="E41" s="27">
        <f>I36</f>
        <v/>
      </c>
    </row>
    <row r="42">
      <c r="A42" s="23" t="inlineStr">
        <is>
          <t>РАЗОМ ДО ОПЛАТИ ЗА ВИРОБНИЦТВО</t>
        </is>
      </c>
      <c r="B42" s="24">
        <f>B40+B41</f>
        <v/>
      </c>
      <c r="E42" s="24">
        <f>E40+E41</f>
        <v/>
      </c>
    </row>
    <row r="43">
      <c r="A43" s="13" t="inlineStr">
        <is>
          <t>Плюс уже готове на складі</t>
        </is>
      </c>
      <c r="B43" s="30">
        <f>E14</f>
        <v/>
      </c>
      <c r="E43" s="30">
        <f>I14</f>
        <v/>
      </c>
      <c r="K43" s="13" t="inlineStr">
        <is>
          <t>Ці гроші вже витрачені</t>
        </is>
      </c>
    </row>
    <row r="44">
      <c r="A44" s="58" t="inlineStr">
        <is>
          <t>ВСЬОГО ТОВАРУ ПІД ВЕРЕСЕНЬ</t>
        </is>
      </c>
      <c r="B44" s="6">
        <f>B42+B43</f>
        <v/>
      </c>
    </row>
    <row r="45">
      <c r="A45" s="5" t="inlineStr">
        <is>
          <t>Економія від нових підрядників</t>
        </is>
      </c>
      <c r="E45" s="80">
        <f>J25</f>
        <v/>
      </c>
      <c r="K45" s="13" t="inlineStr">
        <is>
          <t>Чорна блуза 1 700 · сатинові штани 2 000 · жакет 3 500</t>
        </is>
      </c>
    </row>
    <row r="47" ht="39" customHeight="1">
      <c r="A47" s="26" t="inlineStr">
        <is>
          <t>Нові розцінки: чорна блуза 1 700 (було 2 260–4 316), сатинові штани 2 000 (було 3 521), жакет 3 500 (було 5 331). Це на 25–61% дешевше. Перед переведенням обсягу перевірте якість на пробній партії — при преміальній ціні економія на пошитті може коштувати дорожче за саму економію, якщо зросте відсоток повернень.</t>
        </is>
      </c>
      <c r="B47" s="19" t="n"/>
      <c r="C47" s="19" t="n"/>
      <c r="D47" s="19" t="n"/>
      <c r="E47" s="19" t="n"/>
      <c r="F47" s="19" t="n"/>
      <c r="G47" s="19" t="n"/>
      <c r="H47" s="19" t="n"/>
      <c r="I47" s="19" t="n"/>
      <c r="J47" s="19" t="n"/>
      <c r="K47" s="20" t="n"/>
    </row>
    <row r="49" ht="32" customHeight="1">
      <c r="A49" s="33" t="inlineStr">
        <is>
          <t>Розподіл збуту з файлу: Showroom 48 од (38%) · Gifting 6 од (5%) · Резерв 10 од (8%) · B2C тот же резерв 63 од (49%). Шоуруми забирають майже 40% товару, а маржа там удвічі нижча за онлайн — це закладено в аркуші Break-even.</t>
        </is>
      </c>
      <c r="B49" s="19" t="n"/>
      <c r="C49" s="19" t="n"/>
      <c r="D49" s="19" t="n"/>
      <c r="E49" s="19" t="n"/>
      <c r="F49" s="19" t="n"/>
      <c r="G49" s="19" t="n"/>
      <c r="H49" s="19" t="n"/>
      <c r="I49" s="19" t="n"/>
      <c r="J49" s="19" t="n"/>
      <c r="K49" s="20" t="n"/>
    </row>
  </sheetData>
  <mergeCells count="8">
    <mergeCell ref="A4:K4"/>
    <mergeCell ref="A38:K38"/>
    <mergeCell ref="A2:K2"/>
    <mergeCell ref="A16:K16"/>
    <mergeCell ref="A49:K49"/>
    <mergeCell ref="A47:K47"/>
    <mergeCell ref="A1:K1"/>
    <mergeCell ref="A27:K27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F4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4" customWidth="1" min="5" max="5"/>
    <col width="46" customWidth="1" min="6" max="6"/>
  </cols>
  <sheetData>
    <row r="1" ht="24" customHeight="1">
      <c r="A1" s="1" t="inlineStr">
        <is>
          <t>Окупність — коли бренд поверне вкладене</t>
        </is>
      </c>
    </row>
    <row r="2" ht="42" customHeight="1">
      <c r="A2" s="2" t="inlineStr">
        <is>
          <t>Скільки грошей уже вкладено понад те, що бренд заробив, і за скільки місяців це повертається за кожним сценарієм плану. Вкладене — це не «згоріло»: частина стала товаром на складі, і цей товар ще продасться.</t>
        </is>
      </c>
    </row>
    <row r="4">
      <c r="A4" s="3" t="inlineStr">
        <is>
          <t>Скільки вкладено</t>
        </is>
      </c>
    </row>
    <row r="5" ht="32" customHeight="1">
      <c r="A5" s="4" t="inlineStr">
        <is>
          <t>Показник</t>
        </is>
      </c>
      <c r="B5" s="4" t="inlineStr">
        <is>
          <t>Сума, грн</t>
        </is>
      </c>
      <c r="C5" s="4" t="inlineStr"/>
      <c r="D5" s="4" t="inlineStr"/>
      <c r="E5" s="4" t="inlineStr"/>
      <c r="F5" s="4" t="inlineStr">
        <is>
          <t>Як порахований</t>
        </is>
      </c>
    </row>
    <row r="6">
      <c r="A6" s="14" t="inlineStr">
        <is>
          <t>Витрачено грошей, травень–серпень</t>
        </is>
      </c>
      <c r="B6" s="27">
        <f>'Cash Flow'!$B$34+'Cash Flow'!$C$34+'Cash Flow'!$D$34+'Cash Flow'!$E$34</f>
        <v/>
      </c>
      <c r="F6" s="13" t="inlineStr">
        <is>
          <t>Аркуш Cash Flow, рядок «Разом витрати», всі чотири місяці</t>
        </is>
      </c>
    </row>
    <row r="7">
      <c r="A7" s="14" t="inlineStr">
        <is>
          <t>Отримано грошей, травень–серпень</t>
        </is>
      </c>
      <c r="B7" s="27">
        <f>'Cash Flow'!$B$35+'Cash Flow'!$C$35+'Cash Flow'!$D$35+'Cash Flow'!$E$35</f>
        <v/>
      </c>
    </row>
    <row r="8">
      <c r="A8" s="62" t="inlineStr">
        <is>
          <t>Кеш-дефіцит — стільки довкладено ззовні</t>
        </is>
      </c>
      <c r="B8" s="81">
        <f>B6-B7</f>
        <v/>
      </c>
      <c r="F8" s="13" t="inlineStr">
        <is>
          <t>Це те, що власниця або інвестор поклали в бренд за ці місяці</t>
        </is>
      </c>
    </row>
    <row r="9">
      <c r="A9" s="14" t="inlineStr">
        <is>
          <t>Мінус вартість наявного товару (за собівартістю)</t>
        </is>
      </c>
      <c r="B9" s="27">
        <f>SUMPRODUCT('Production Plan'!B5:B14,'Собівартість'!E5:E14)</f>
        <v/>
      </c>
      <c r="F9" s="13" t="inlineStr">
        <is>
          <t>Товар на складі — це актив, а не втрачені гроші. Він ще продасться</t>
        </is>
      </c>
    </row>
    <row r="10">
      <c r="A10" s="14" t="inlineStr">
        <is>
          <t>Мінус вартість літньої колекції на складі</t>
        </is>
      </c>
      <c r="B10" s="27">
        <f>SUMPRODUCT('Літня колекція'!H5:H10,'Літня колекція'!B5:B10)</f>
        <v/>
      </c>
      <c r="F10" s="13" t="inlineStr">
        <is>
          <t>Аркуш «Літня колекція», колонка наявності × собівартість</t>
        </is>
      </c>
    </row>
    <row r="11">
      <c r="A11" s="23" t="inlineStr">
        <is>
          <t>ЧИСТИЙ ВКЛАДЕНИЙ КАПІТАЛ — це і треба повернути</t>
        </is>
      </c>
      <c r="B11" s="24">
        <f>B8-B9-B10</f>
        <v/>
      </c>
      <c r="F11" s="13" t="inlineStr">
        <is>
          <t>Дефіцит мінус товар, який лежить на складі</t>
        </is>
      </c>
    </row>
    <row r="13" ht="39" customHeight="1">
      <c r="A13" s="28" t="inlineStr">
        <is>
          <t>Важливо: тут немає березня і квітня — Cash Flow починається з травня. Якщо у ті місяці теж були витрати, чистий вкладений капітал більший. Додайте їх у Cash Flow, і цифра перерахується.</t>
        </is>
      </c>
      <c r="B13" s="19" t="n"/>
      <c r="C13" s="19" t="n"/>
      <c r="D13" s="19" t="n"/>
      <c r="E13" s="19" t="n"/>
      <c r="F13" s="20" t="n"/>
    </row>
    <row r="15">
      <c r="A15" s="3" t="inlineStr">
        <is>
          <t>За скільки повертається</t>
        </is>
      </c>
    </row>
    <row r="16" ht="32" customHeight="1">
      <c r="A16" s="4" t="inlineStr">
        <is>
          <t>Показник</t>
        </is>
      </c>
      <c r="B16" s="4" t="inlineStr">
        <is>
          <t>Minimum / break-even</t>
        </is>
      </c>
      <c r="C16" s="4" t="inlineStr">
        <is>
          <t>Base plan</t>
        </is>
      </c>
      <c r="D16" s="4" t="inlineStr">
        <is>
          <t>Stretch plan</t>
        </is>
      </c>
      <c r="E16" s="4" t="inlineStr"/>
      <c r="F16" s="4" t="inlineStr">
        <is>
          <t>Коментар</t>
        </is>
      </c>
    </row>
    <row r="17">
      <c r="A17" s="5" t="inlineStr">
        <is>
          <t>Результат після постійних витрат, грн/міс</t>
        </is>
      </c>
      <c r="B17" s="10">
        <f>IFERROR('Sales Plan'!B23,"—")</f>
        <v/>
      </c>
      <c r="C17" s="10">
        <f>IFERROR('Sales Plan'!C23,"—")</f>
        <v/>
      </c>
      <c r="D17" s="10">
        <f>IFERROR('Sales Plan'!D23,"—")</f>
        <v/>
      </c>
      <c r="F17" s="13" t="inlineStr">
        <is>
          <t>З аркуша Sales Plan</t>
        </is>
      </c>
    </row>
    <row r="18">
      <c r="A18" s="23" t="inlineStr">
        <is>
          <t>Окупність, місяців</t>
        </is>
      </c>
      <c r="B18" s="82">
        <f>IFERROR(IF(B17&lt;=0,"не окупається",$B$11/B17),"—")</f>
        <v/>
      </c>
      <c r="C18" s="82">
        <f>IFERROR(IF(C17&lt;=0,"не окупається",$B$11/C17),"—")</f>
        <v/>
      </c>
      <c r="D18" s="82">
        <f>IFERROR(IF(D17&lt;=0,"не окупається",$B$11/D17),"—")</f>
        <v/>
      </c>
      <c r="F18" s="13" t="inlineStr">
        <is>
          <t>Чистий вкладений капітал / місячний результат</t>
        </is>
      </c>
    </row>
    <row r="19">
      <c r="A19" s="14" t="inlineStr">
        <is>
          <t>Прибуток за перший рік після виходу в план, грн</t>
        </is>
      </c>
      <c r="B19" s="29">
        <f>IFERROR(IF(B17&lt;=0,"",B17*12),"—")</f>
        <v/>
      </c>
      <c r="C19" s="29">
        <f>IFERROR(IF(C17&lt;=0,"",C17*12),"—")</f>
        <v/>
      </c>
      <c r="D19" s="29">
        <f>IFERROR(IF(D17&lt;=0,"",D17*12),"—")</f>
        <v/>
      </c>
    </row>
    <row r="20">
      <c r="A20" s="14" t="inlineStr">
        <is>
          <t>Річна віддача на вкладене</t>
        </is>
      </c>
      <c r="B20" s="60">
        <f>IFERROR(IF(OR(B17&lt;=0,$B$11=0),"",B19/$B$11),"—")</f>
        <v/>
      </c>
      <c r="C20" s="60">
        <f>IFERROR(IF(OR(C17&lt;=0,$B$11=0),"",C19/$B$11),"—")</f>
        <v/>
      </c>
      <c r="D20" s="60">
        <f>IFERROR(IF(OR(D17&lt;=0,$B$11=0),"",D19/$B$11),"—")</f>
        <v/>
      </c>
      <c r="F20" s="13" t="inlineStr">
        <is>
          <t>Скільки відсотків вкладеного повертається за рік</t>
        </is>
      </c>
    </row>
    <row r="22">
      <c r="A22" s="3" t="inlineStr">
        <is>
          <t>Помісячна проєкція, 12 місяців з вересня — сценарій Base</t>
        </is>
      </c>
    </row>
    <row r="23" ht="32" customHeight="1">
      <c r="A23" s="4" t="inlineStr">
        <is>
          <t>Місяць</t>
        </is>
      </c>
      <c r="B23" s="4" t="inlineStr">
        <is>
          <t>Виручка, грн</t>
        </is>
      </c>
      <c r="C23" s="4" t="inlineStr">
        <is>
          <t>Contribution, грн</t>
        </is>
      </c>
      <c r="D23" s="4" t="inlineStr">
        <is>
          <t>Результат за місяць, грн</t>
        </is>
      </c>
      <c r="E23" s="4" t="inlineStr">
        <is>
          <t>Накопичено, грн</t>
        </is>
      </c>
      <c r="F23" s="4" t="inlineStr">
        <is>
          <t>Стан</t>
        </is>
      </c>
    </row>
    <row r="24">
      <c r="A24" s="14" t="inlineStr">
        <is>
          <t>Вересень</t>
        </is>
      </c>
      <c r="B24" s="21">
        <f>'Sales Plan'!$C$8</f>
        <v/>
      </c>
      <c r="C24" s="21">
        <f>B24*'Sales Plan'!$C$25</f>
        <v/>
      </c>
      <c r="D24" s="21">
        <f>C24-Параметри!$B$27</f>
        <v/>
      </c>
      <c r="E24" s="27">
        <f>-$B$11+D24</f>
        <v/>
      </c>
      <c r="F24" s="13">
        <f>IF(E24&gt;=0,"вкладене повернуто","ще в мінусі")</f>
        <v/>
      </c>
    </row>
    <row r="25">
      <c r="A25" s="14" t="inlineStr">
        <is>
          <t>Жовтень</t>
        </is>
      </c>
      <c r="B25" s="21">
        <f>'Sales Plan'!$C$8</f>
        <v/>
      </c>
      <c r="C25" s="21">
        <f>B25*'Sales Plan'!$C$25</f>
        <v/>
      </c>
      <c r="D25" s="21">
        <f>C25-Параметри!$B$27</f>
        <v/>
      </c>
      <c r="E25" s="27">
        <f>E24+D25</f>
        <v/>
      </c>
      <c r="F25" s="13">
        <f>IF(E25&gt;=0,"вкладене повернуто","ще в мінусі")</f>
        <v/>
      </c>
    </row>
    <row r="26">
      <c r="A26" s="14" t="inlineStr">
        <is>
          <t>Листопад</t>
        </is>
      </c>
      <c r="B26" s="21">
        <f>'Sales Plan'!$C$8</f>
        <v/>
      </c>
      <c r="C26" s="21">
        <f>B26*'Sales Plan'!$C$25</f>
        <v/>
      </c>
      <c r="D26" s="21">
        <f>C26-Параметри!$B$27</f>
        <v/>
      </c>
      <c r="E26" s="27">
        <f>E25+D26</f>
        <v/>
      </c>
      <c r="F26" s="13">
        <f>IF(E26&gt;=0,"вкладене повернуто","ще в мінусі")</f>
        <v/>
      </c>
    </row>
    <row r="27">
      <c r="A27" s="14" t="inlineStr">
        <is>
          <t>Грудень</t>
        </is>
      </c>
      <c r="B27" s="21">
        <f>'Sales Plan'!$C$8</f>
        <v/>
      </c>
      <c r="C27" s="21">
        <f>B27*'Sales Plan'!$C$25</f>
        <v/>
      </c>
      <c r="D27" s="21">
        <f>C27-Параметри!$B$27</f>
        <v/>
      </c>
      <c r="E27" s="27">
        <f>E26+D27</f>
        <v/>
      </c>
      <c r="F27" s="13">
        <f>IF(E27&gt;=0,"вкладене повернуто","ще в мінусі")</f>
        <v/>
      </c>
    </row>
    <row r="28">
      <c r="A28" s="14" t="inlineStr">
        <is>
          <t>Січень</t>
        </is>
      </c>
      <c r="B28" s="21">
        <f>'Sales Plan'!$C$8</f>
        <v/>
      </c>
      <c r="C28" s="21">
        <f>B28*'Sales Plan'!$C$25</f>
        <v/>
      </c>
      <c r="D28" s="21">
        <f>C28-Параметри!$B$27</f>
        <v/>
      </c>
      <c r="E28" s="27">
        <f>E27+D28</f>
        <v/>
      </c>
      <c r="F28" s="13">
        <f>IF(E28&gt;=0,"вкладене повернуто","ще в мінусі")</f>
        <v/>
      </c>
    </row>
    <row r="29">
      <c r="A29" s="14" t="inlineStr">
        <is>
          <t>Лютий</t>
        </is>
      </c>
      <c r="B29" s="21">
        <f>'Sales Plan'!$C$8</f>
        <v/>
      </c>
      <c r="C29" s="21">
        <f>B29*'Sales Plan'!$C$25</f>
        <v/>
      </c>
      <c r="D29" s="21">
        <f>C29-Параметри!$B$27</f>
        <v/>
      </c>
      <c r="E29" s="27">
        <f>E28+D29</f>
        <v/>
      </c>
      <c r="F29" s="13">
        <f>IF(E29&gt;=0,"вкладене повернуто","ще в мінусі")</f>
        <v/>
      </c>
    </row>
    <row r="30">
      <c r="A30" s="14" t="inlineStr">
        <is>
          <t>Березень</t>
        </is>
      </c>
      <c r="B30" s="21">
        <f>'Sales Plan'!$C$8</f>
        <v/>
      </c>
      <c r="C30" s="21">
        <f>B30*'Sales Plan'!$C$25</f>
        <v/>
      </c>
      <c r="D30" s="21">
        <f>C30-Параметри!$B$27</f>
        <v/>
      </c>
      <c r="E30" s="27">
        <f>E29+D30</f>
        <v/>
      </c>
      <c r="F30" s="13">
        <f>IF(E30&gt;=0,"вкладене повернуто","ще в мінусі")</f>
        <v/>
      </c>
    </row>
    <row r="31">
      <c r="A31" s="14" t="inlineStr">
        <is>
          <t>Квітень</t>
        </is>
      </c>
      <c r="B31" s="21">
        <f>'Sales Plan'!$C$8</f>
        <v/>
      </c>
      <c r="C31" s="21">
        <f>B31*'Sales Plan'!$C$25</f>
        <v/>
      </c>
      <c r="D31" s="21">
        <f>C31-Параметри!$B$27</f>
        <v/>
      </c>
      <c r="E31" s="27">
        <f>E30+D31</f>
        <v/>
      </c>
      <c r="F31" s="13">
        <f>IF(E31&gt;=0,"вкладене повернуто","ще в мінусі")</f>
        <v/>
      </c>
    </row>
    <row r="32">
      <c r="A32" s="14" t="inlineStr">
        <is>
          <t>Травень</t>
        </is>
      </c>
      <c r="B32" s="21">
        <f>'Sales Plan'!$C$8</f>
        <v/>
      </c>
      <c r="C32" s="21">
        <f>B32*'Sales Plan'!$C$25</f>
        <v/>
      </c>
      <c r="D32" s="21">
        <f>C32-Параметри!$B$27</f>
        <v/>
      </c>
      <c r="E32" s="27">
        <f>E31+D32</f>
        <v/>
      </c>
      <c r="F32" s="13">
        <f>IF(E32&gt;=0,"вкладене повернуто","ще в мінусі")</f>
        <v/>
      </c>
    </row>
    <row r="33">
      <c r="A33" s="14" t="inlineStr">
        <is>
          <t>Червень</t>
        </is>
      </c>
      <c r="B33" s="21">
        <f>'Sales Plan'!$C$8</f>
        <v/>
      </c>
      <c r="C33" s="21">
        <f>B33*'Sales Plan'!$C$25</f>
        <v/>
      </c>
      <c r="D33" s="21">
        <f>C33-Параметри!$B$27</f>
        <v/>
      </c>
      <c r="E33" s="27">
        <f>E32+D33</f>
        <v/>
      </c>
      <c r="F33" s="13">
        <f>IF(E33&gt;=0,"вкладене повернуто","ще в мінусі")</f>
        <v/>
      </c>
    </row>
    <row r="34">
      <c r="A34" s="14" t="inlineStr">
        <is>
          <t>Липень</t>
        </is>
      </c>
      <c r="B34" s="21">
        <f>'Sales Plan'!$C$8</f>
        <v/>
      </c>
      <c r="C34" s="21">
        <f>B34*'Sales Plan'!$C$25</f>
        <v/>
      </c>
      <c r="D34" s="21">
        <f>C34-Параметри!$B$27</f>
        <v/>
      </c>
      <c r="E34" s="27">
        <f>E33+D34</f>
        <v/>
      </c>
      <c r="F34" s="13">
        <f>IF(E34&gt;=0,"вкладене повернуто","ще в мінусі")</f>
        <v/>
      </c>
    </row>
    <row r="35">
      <c r="A35" s="14" t="inlineStr">
        <is>
          <t>Серпень</t>
        </is>
      </c>
      <c r="B35" s="21">
        <f>'Sales Plan'!$C$8</f>
        <v/>
      </c>
      <c r="C35" s="21">
        <f>B35*'Sales Plan'!$C$25</f>
        <v/>
      </c>
      <c r="D35" s="21">
        <f>C35-Параметри!$B$27</f>
        <v/>
      </c>
      <c r="E35" s="27">
        <f>E34+D35</f>
        <v/>
      </c>
      <c r="F35" s="13">
        <f>IF(E35&gt;=0,"вкладене повернуто","ще в мінусі")</f>
        <v/>
      </c>
    </row>
    <row r="37" ht="39" customHeight="1">
      <c r="A37" s="33" t="inlineStr">
        <is>
          <t>Проєкція припускає, що з вересня бренд одразу виходить на план Base і тримає його рівно. Реально перший місяць буде нижчим — закладайте розгін два-три місяці. Щоб побачити інший сценарій, змініть множник Base на аркуші «Параметри».</t>
        </is>
      </c>
      <c r="B37" s="19" t="n"/>
      <c r="C37" s="19" t="n"/>
      <c r="D37" s="19" t="n"/>
      <c r="E37" s="19" t="n"/>
      <c r="F37" s="20" t="n"/>
    </row>
    <row r="39">
      <c r="A39" s="3" t="inlineStr">
        <is>
          <t>Скільки грошей треба ДО того, як прийде виручка</t>
        </is>
      </c>
    </row>
    <row r="40" ht="32" customHeight="1">
      <c r="A40" s="4" t="inlineStr">
        <is>
          <t>Показник</t>
        </is>
      </c>
      <c r="B40" s="4" t="inlineStr">
        <is>
          <t>Сума, грн</t>
        </is>
      </c>
      <c r="C40" s="4" t="inlineStr"/>
      <c r="D40" s="4" t="inlineStr"/>
      <c r="E40" s="4" t="inlineStr"/>
      <c r="F40" s="4" t="inlineStr">
        <is>
          <t>Коментар</t>
        </is>
      </c>
    </row>
    <row r="41">
      <c r="A41" s="5" t="inlineStr">
        <is>
          <t>Виробництво за планом пошиття бренду</t>
        </is>
      </c>
      <c r="B41" s="27">
        <f>'План пошиття'!$E$42</f>
        <v/>
      </c>
      <c r="F41" s="13" t="inlineStr">
        <is>
          <t>Аркуш «План пошиття», підсумковий бюджет під обрану кількість шоурумів</t>
        </is>
      </c>
    </row>
    <row r="42">
      <c r="A42" s="5" t="inlineStr">
        <is>
          <t>Постійні витрати на 1 місяць — поки прийде перша виручка</t>
        </is>
      </c>
      <c r="B42" s="27">
        <f>Параметри!$B$27</f>
        <v/>
      </c>
      <c r="F42" s="13" t="inlineStr">
        <is>
          <t>Далі виручка їх покриває, якщо план виконується</t>
        </is>
      </c>
    </row>
    <row r="43">
      <c r="A43" s="23" t="inlineStr">
        <is>
          <t>ПОТРІБНО ОБОРОТКИ НА СТАРТ, грн</t>
        </is>
      </c>
      <c r="B43" s="24">
        <f>B41+B42</f>
        <v/>
      </c>
      <c r="F43" s="13" t="inlineStr">
        <is>
          <t>Гроші, які треба мати ДО вересня, щоб план Base був фізично можливим</t>
        </is>
      </c>
    </row>
    <row r="44">
      <c r="A44" s="13" t="inlineStr">
        <is>
          <t>Подушка на випадок, якщо план не виконається (3 міс постійних)</t>
        </is>
      </c>
      <c r="B44" s="30">
        <f>Параметри!$B$27*3</f>
        <v/>
      </c>
      <c r="F44" s="13" t="inlineStr">
        <is>
          <t>Не обовʼязково мати одразу, але це розмір ризику</t>
        </is>
      </c>
    </row>
    <row r="46" ht="52" customHeight="1">
      <c r="A46" s="18" t="inlineStr">
        <is>
          <t>Це найпрактичніша цифра в усій моделі. Виробництво оплачується наперед, а гроші від покупців приходять після продажу — тому навіть прибутковий план потребує оборотного капіталу. Якщо цієї суми немає, план треба зменшувати до того, що бренд може профінансувати.</t>
        </is>
      </c>
      <c r="B46" s="19" t="n"/>
      <c r="C46" s="19" t="n"/>
      <c r="D46" s="19" t="n"/>
      <c r="E46" s="19" t="n"/>
      <c r="F46" s="20" t="n"/>
    </row>
  </sheetData>
  <mergeCells count="9">
    <mergeCell ref="A2:F2"/>
    <mergeCell ref="A46:F46"/>
    <mergeCell ref="A13:F13"/>
    <mergeCell ref="A1:F1"/>
    <mergeCell ref="A37:F37"/>
    <mergeCell ref="A22:F22"/>
    <mergeCell ref="A4:F4"/>
    <mergeCell ref="A39:F39"/>
    <mergeCell ref="A15:F15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F48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20" customWidth="1" min="3" max="3"/>
    <col width="16" customWidth="1" min="4" max="4"/>
    <col width="14" customWidth="1" min="5" max="5"/>
    <col width="52" customWidth="1" min="6" max="6"/>
  </cols>
  <sheetData>
    <row r="1" ht="24" customHeight="1">
      <c r="A1" s="1" t="inlineStr">
        <is>
          <t>Позиціонування і просування — висновки з цифр</t>
        </is>
      </c>
    </row>
    <row r="2" ht="42" customHeight="1">
      <c r="A2" s="2" t="inlineStr">
        <is>
          <t>Тут немає загальних порад. Кожен пункт спирається на конкретне число з цієї ж книги.</t>
        </is>
      </c>
    </row>
    <row r="4">
      <c r="A4" s="3" t="inlineStr">
        <is>
          <t>Що кажуть дані про маркетинг</t>
        </is>
      </c>
    </row>
    <row r="5" ht="32" customHeight="1">
      <c r="A5" s="4" t="inlineStr">
        <is>
          <t>Показник</t>
        </is>
      </c>
      <c r="B5" s="4" t="inlineStr">
        <is>
          <t>Значення</t>
        </is>
      </c>
      <c r="C5" s="4" t="inlineStr"/>
      <c r="D5" s="4" t="inlineStr"/>
      <c r="E5" s="4" t="inlineStr"/>
      <c r="F5" s="4" t="inlineStr">
        <is>
          <t>Що з цього випливає</t>
        </is>
      </c>
    </row>
    <row r="6">
      <c r="A6" s="14" t="inlineStr">
        <is>
          <t>Витрачено на маркетинг, травень–липень</t>
        </is>
      </c>
      <c r="B6" s="6" t="n">
        <v>148587.15</v>
      </c>
      <c r="F6" s="7" t="inlineStr">
        <is>
          <t>З них 77% — інфлюенсери</t>
        </is>
      </c>
    </row>
    <row r="7">
      <c r="A7" s="14" t="inlineStr">
        <is>
          <t>Замовлень усього за період</t>
        </is>
      </c>
      <c r="B7" s="6" t="n">
        <v>34</v>
      </c>
      <c r="F7" s="7" t="inlineStr">
        <is>
          <t>З них оплачено лише частина</t>
        </is>
      </c>
    </row>
    <row r="8">
      <c r="A8" s="14" t="inlineStr">
        <is>
          <t>З них ОПЛАЧЕНО</t>
        </is>
      </c>
      <c r="B8" s="6" t="n">
        <v>13</v>
      </c>
      <c r="F8" s="7" t="inlineStr">
        <is>
          <t>Решта — повернення й відмови</t>
        </is>
      </c>
    </row>
    <row r="9">
      <c r="A9" s="14" t="inlineStr">
        <is>
          <t>CAC на замовлення (оманливий)</t>
        </is>
      </c>
      <c r="B9" s="6" t="n">
        <v>4370.21</v>
      </c>
      <c r="F9" s="7" t="inlineStr">
        <is>
          <t>Так рахувати НЕ можна: замовлення, яке повернули, грошей не принесло</t>
        </is>
      </c>
    </row>
    <row r="10">
      <c r="A10" s="14" t="inlineStr">
        <is>
          <t>CAC на ОПЛАЧЕНЕ замовлення</t>
        </is>
      </c>
      <c r="B10" s="6" t="n">
        <v>11429.78</v>
      </c>
      <c r="F10" s="7" t="inlineStr">
        <is>
          <t>Це правильна цифра</t>
        </is>
      </c>
    </row>
    <row r="11">
      <c r="A11" s="14" t="inlineStr">
        <is>
          <t>Валовий прибуток з оплаченого замовлення</t>
        </is>
      </c>
      <c r="B11" s="6" t="n">
        <v>14313.27</v>
      </c>
      <c r="F11" s="7" t="inlineStr">
        <is>
          <t>Скільки лишається до постійних витрат</t>
        </is>
      </c>
    </row>
    <row r="12">
      <c r="A12" s="14" t="inlineStr">
        <is>
          <t>ROMI — віддача на маркетинг</t>
        </is>
      </c>
      <c r="B12" s="83" t="n">
        <v>1.25</v>
      </c>
      <c r="F12" s="7" t="inlineStr">
        <is>
          <t>На кожну гривню в маркетинг стільки валового прибутку. Нижче 1 — збиток</t>
        </is>
      </c>
    </row>
    <row r="13">
      <c r="A13" s="14" t="inlineStr">
        <is>
          <t>Стеля CAC — до скількох можна платити</t>
        </is>
      </c>
      <c r="B13" s="6" t="n">
        <v>14313.27</v>
      </c>
      <c r="F13" s="7" t="inlineStr">
        <is>
          <t>Вище цього залучення збиткове вже на першій покупці</t>
        </is>
      </c>
    </row>
    <row r="14">
      <c r="A14" s="14" t="inlineStr">
        <is>
          <t>Запас до стелі</t>
        </is>
      </c>
      <c r="B14" s="8" t="n">
        <v>0.25</v>
      </c>
      <c r="F14" s="7" t="inlineStr">
        <is>
          <t>Скільки ще є простору</t>
        </is>
      </c>
    </row>
    <row r="15">
      <c r="A15" s="14" t="inlineStr">
        <is>
          <t>Маркетинг у відсотку від Net Sales</t>
        </is>
      </c>
      <c r="B15" s="8" t="n">
        <v>0.53</v>
      </c>
      <c r="F15" s="7" t="inlineStr"/>
    </row>
    <row r="17" ht="65" customHeight="1">
      <c r="A17" s="18" t="inlineStr">
        <is>
          <t>Головний висновок  і він неприємний: маркетинг ЛЕДВЕ окупається. Якщо рахувати CAC на всі замовлення  виходить 4 370 грн і красиві 3.3×. Але 43% замовлень повертаються або скасовуються  а гроші за їх залучення вже витрачені. На ОПЛАЧЕНЕ замовлення CAC = 11 430 грн при валовому прибутку 14 313 грн  тобто ROMI 1.25×. Запас до нуля — лише 25%. І це ДО постійних витрат 261 850 грн/міс.</t>
        </is>
      </c>
      <c r="B17" s="19" t="n"/>
      <c r="C17" s="19" t="n"/>
      <c r="D17" s="19" t="n"/>
      <c r="E17" s="19" t="n"/>
      <c r="F17" s="20" t="n"/>
    </row>
    <row r="19" ht="65" customHeight="1">
      <c r="A19" s="28" t="inlineStr">
        <is>
          <t>Що з цього випливає. Масштабувати маркетинг у поточному вигляді не можна — кожна додаткова гривня повертає лише трохи більше за себе, і постійні витрати з цього не покриваються. Спершу треба збити повернення: якщо довести їх з 43% до 15%, CAC на оплачене падає приблизно до 5 900 грн, а ROMI піднімається вище 2×. Тобто робота з поверненнями зараз коштує дорожче за будь-яку рекламу.</t>
        </is>
      </c>
      <c r="B19" s="19" t="n"/>
      <c r="C19" s="19" t="n"/>
      <c r="D19" s="19" t="n"/>
      <c r="E19" s="19" t="n"/>
      <c r="F19" s="20" t="n"/>
    </row>
    <row r="21">
      <c r="A21" s="3" t="inlineStr">
        <is>
          <t>Що продавати і як піднімати чек</t>
        </is>
      </c>
    </row>
    <row r="22" ht="32" customHeight="1">
      <c r="A22" s="4" t="inlineStr">
        <is>
          <t>Спостереження</t>
        </is>
      </c>
      <c r="B22" s="4" t="inlineStr">
        <is>
          <t>Число</t>
        </is>
      </c>
      <c r="C22" s="4" t="inlineStr"/>
      <c r="D22" s="4" t="inlineStr"/>
      <c r="E22" s="4" t="inlineStr"/>
      <c r="F22" s="4" t="inlineStr">
        <is>
          <t>Що робити</t>
        </is>
      </c>
    </row>
    <row r="23">
      <c r="A23" s="14" t="inlineStr">
        <is>
          <t>Кафтан оксамитовий — частка виручки</t>
        </is>
      </c>
      <c r="B23" s="8" t="n">
        <v>0.5358000000000001</v>
      </c>
      <c r="F23" s="7" t="inlineStr">
        <is>
          <t>Це герой-продукт. Уся комунікація має будуватись навколо нього, а не навколо «колекції взагалі»</t>
        </is>
      </c>
    </row>
    <row r="24">
      <c r="A24" s="14" t="inlineStr">
        <is>
          <t>Середній чек — одна позиція в замовленні</t>
        </is>
      </c>
      <c r="B24" s="6" t="n">
        <v>18754.0323</v>
      </c>
      <c r="F24" s="7" t="inlineStr"/>
    </row>
    <row r="25">
      <c r="A25" s="14" t="inlineStr">
        <is>
          <t>Середній чек — дві й більше позицій</t>
        </is>
      </c>
      <c r="B25" s="6" t="n">
        <v>29103.5</v>
      </c>
      <c r="F25" s="7" t="inlineStr">
        <is>
          <t>Комплект дає +55% до чека. Це найдешевший спосіб підняти виручку</t>
        </is>
      </c>
    </row>
    <row r="26">
      <c r="A26" s="14" t="inlineStr">
        <is>
          <t>Замовлень із двома і більше позиціями</t>
        </is>
      </c>
      <c r="B26" s="8" t="n">
        <v>0.2439</v>
      </c>
      <c r="F26" s="7" t="inlineStr">
        <is>
          <t>Три чверті покупців беруть одну річ — тут головний невикористаний резерв</t>
        </is>
      </c>
    </row>
    <row r="27">
      <c r="A27" s="14" t="inlineStr">
        <is>
          <t>Кафтан продається в комплекті</t>
        </is>
      </c>
      <c r="B27" s="8" t="n">
        <v>0.1111</v>
      </c>
      <c r="F27" s="7" t="inlineStr">
        <is>
          <t>Кафтан майже завжди купують сам. Зібрати до нього образ — штани, блуза — і показувати комплектом</t>
        </is>
      </c>
    </row>
    <row r="28">
      <c r="A28" s="14" t="inlineStr">
        <is>
          <t>Повторних покупців</t>
        </is>
      </c>
      <c r="B28" s="8" t="n">
        <v>0.0513</v>
      </c>
      <c r="F28" s="7" t="inlineStr">
        <is>
          <t>Цикл повторної покупки в одязі — від колекції до колекції. Вересень буде першим справжнім тестом</t>
        </is>
      </c>
    </row>
    <row r="30">
      <c r="A30" s="3" t="inlineStr">
        <is>
          <t>Позиціонування — що випливає з цін і маржі</t>
        </is>
      </c>
    </row>
    <row r="31" ht="52" customHeight="1">
      <c r="A31" s="33" t="inlineStr">
        <is>
          <t>Середній чек 21 278 грн  флагман 26 500 грн  валова маржа 66%. Це преміальний сегмент  а не масмаркет. Конкурувати ціною бренду не можна: при націнці ×3 до собівартості будь-яка знижка одразу з’їдає маржу  а обсягу  щоб це відбити  немає.</t>
        </is>
      </c>
      <c r="B31" s="19" t="n"/>
      <c r="C31" s="19" t="n"/>
      <c r="D31" s="19" t="n"/>
      <c r="E31" s="19" t="n"/>
      <c r="F31" s="20" t="n"/>
    </row>
    <row r="33" ht="52" customHeight="1">
      <c r="A33" s="28" t="inlineStr">
        <is>
          <t>Коефіцієнт ×2,5 для літньої колекції — це крок ВНИЗ по маржі (60% замість нинішніх 66–71%). Точка беззбитковості від цього підніметься. Якщо літо має бути доступнішим, компенсувати треба собівартістю або обсягом, а не просто нижчою націнкою.</t>
        </is>
      </c>
      <c r="B33" s="19" t="n"/>
      <c r="C33" s="19" t="n"/>
      <c r="D33" s="19" t="n"/>
      <c r="E33" s="19" t="n"/>
      <c r="F33" s="20" t="n"/>
    </row>
    <row r="35" ht="52" customHeight="1">
      <c r="A35" s="28" t="inlineStr">
        <is>
          <t>Шоурум із комісією 40% дає приблизно вдвічі меншу маржу, ніж власний сайт. Це нормальний інструмент охоплення й примірки, але не джерело прибутку. Плануючи частку шоуруму, дивіться на аркуш Break-even: кожні 10% частки піднімають планку беззбитковості.</t>
        </is>
      </c>
      <c r="B35" s="19" t="n"/>
      <c r="C35" s="19" t="n"/>
      <c r="D35" s="19" t="n"/>
      <c r="E35" s="19" t="n"/>
      <c r="F35" s="20" t="n"/>
    </row>
    <row r="37" ht="52" customHeight="1">
      <c r="A37" s="18" t="inlineStr">
        <is>
          <t>77% маркетингового бюджету йде на інфлюенсерів, і при цьому в CRM немає жодного поля джерела чи промокоду. Тобто ми знаємо, що маркетинг працює в цілому (ROMI 3,3×), але не знаємо, ЯКИЙ саме інфлюенсер працює. Перед масштабуванням потрібні промокоди або UTM — інакше бюджет росте наосліп.</t>
        </is>
      </c>
      <c r="B37" s="19" t="n"/>
      <c r="C37" s="19" t="n"/>
      <c r="D37" s="19" t="n"/>
      <c r="E37" s="19" t="n"/>
      <c r="F37" s="20" t="n"/>
    </row>
    <row r="39" ht="39" customHeight="1">
      <c r="A39" s="33" t="inlineStr">
        <is>
          <t>Київ, Одеса і Львів дають половину замовлень із указаним містом. Якщо колись відкривати офлайн-точку або робити примірочні події — починати з Києва. Але спершу подивіться на маржу шоуруму вище.</t>
        </is>
      </c>
      <c r="B39" s="19" t="n"/>
      <c r="C39" s="19" t="n"/>
      <c r="D39" s="19" t="n"/>
      <c r="E39" s="19" t="n"/>
      <c r="F39" s="20" t="n"/>
    </row>
    <row r="41">
      <c r="A41" s="3" t="inlineStr">
        <is>
          <t>Порядок дій до вересня</t>
        </is>
      </c>
    </row>
    <row r="42" ht="32" customHeight="1">
      <c r="A42" s="4" t="inlineStr">
        <is>
          <t>Крок</t>
        </is>
      </c>
      <c r="B42" s="4" t="inlineStr">
        <is>
          <t>Чому саме це</t>
        </is>
      </c>
      <c r="C42" s="4" t="inlineStr"/>
      <c r="D42" s="4" t="inlineStr"/>
      <c r="E42" s="4" t="inlineStr"/>
      <c r="F42" s="4" t="inlineStr">
        <is>
          <t>Ефект</t>
        </is>
      </c>
    </row>
    <row r="43" ht="30" customHeight="1">
      <c r="A43" s="5" t="inlineStr">
        <is>
          <t>1. Поставити промокоди або UTM на інфлюенсерів</t>
        </is>
      </c>
      <c r="B43" s="7" t="inlineStr">
        <is>
          <t>77% бюджету зараз не атрибутується</t>
        </is>
      </c>
      <c r="C43" s="19" t="n"/>
      <c r="D43" s="19" t="n"/>
      <c r="E43" s="20" t="n"/>
      <c r="F43" s="7" t="inlineStr">
        <is>
          <t>Дозволить масштабувати те, що працює, і вимкнути те, що ні</t>
        </is>
      </c>
    </row>
    <row r="44" ht="30" customHeight="1">
      <c r="A44" s="5" t="inlineStr">
        <is>
          <t>2. Зібрати комплекти навколо кафтана</t>
        </is>
      </c>
      <c r="B44" s="7" t="inlineStr">
        <is>
          <t>Кафтан у комплекті лише в 11% випадків, а комплект дає +55% до чека</t>
        </is>
      </c>
      <c r="C44" s="19" t="n"/>
      <c r="D44" s="19" t="n"/>
      <c r="E44" s="20" t="n"/>
      <c r="F44" s="7" t="inlineStr">
        <is>
          <t>Підіймає середній чек без додаткових витрат на залучення</t>
        </is>
      </c>
    </row>
    <row r="45" ht="30" customHeight="1">
      <c r="A45" s="5" t="inlineStr">
        <is>
          <t>3. Перейти на найдешевшого підрядника, де якість дозволяє</t>
        </is>
      </c>
      <c r="B45" s="7" t="inlineStr">
        <is>
          <t>Різниця на фактичному обсязі — 76 725 грн</t>
        </is>
      </c>
      <c r="C45" s="19" t="n"/>
      <c r="D45" s="19" t="n"/>
      <c r="E45" s="20" t="n"/>
      <c r="F45" s="7" t="inlineStr">
        <is>
          <t>Маржа з 65,9% до 70,8% без жодного додаткового продажу</t>
        </is>
      </c>
    </row>
    <row r="46" ht="30" customHeight="1">
      <c r="A46" s="5" t="inlineStr">
        <is>
          <t>4. Спершу збити повернення, і лише потім нарощувати маркетинг</t>
        </is>
      </c>
      <c r="B46" s="7" t="inlineStr">
        <is>
          <t>ROMI на оплачене 1.25× — майже нуль. Повернень 43%</t>
        </is>
      </c>
      <c r="C46" s="19" t="n"/>
      <c r="D46" s="19" t="n"/>
      <c r="E46" s="20" t="n"/>
      <c r="F46" s="7" t="inlineStr">
        <is>
          <t>Кожен відсоток повернень коштує дорожче за рекламу. Масштабувати збитковий канал не можна</t>
        </is>
      </c>
    </row>
    <row r="47" ht="30" customHeight="1">
      <c r="A47" s="5" t="inlineStr">
        <is>
          <t>5. Зібрати телефони й пошту покупців</t>
        </is>
      </c>
      <c r="B47" s="7" t="inlineStr">
        <is>
          <t>Повторні покупки 5%, ідентифікатора клієнта немає</t>
        </is>
      </c>
      <c r="C47" s="19" t="n"/>
      <c r="D47" s="19" t="n"/>
      <c r="E47" s="20" t="n"/>
      <c r="F47" s="7" t="inlineStr">
        <is>
          <t>Друга покупка коштує в рази дешевше за першу</t>
        </is>
      </c>
    </row>
    <row r="48" ht="30" customHeight="1">
      <c r="A48" s="5" t="inlineStr">
        <is>
          <t>6. Порахувати оборотку під план</t>
        </is>
      </c>
      <c r="B48" s="7" t="inlineStr">
        <is>
          <t>Виробництво оплачується наперед</t>
        </is>
      </c>
      <c r="C48" s="19" t="n"/>
      <c r="D48" s="19" t="n"/>
      <c r="E48" s="20" t="n"/>
      <c r="F48" s="7" t="inlineStr">
        <is>
          <t>Див. блок «Скільки треба ДО того, як прийде виручка»</t>
        </is>
      </c>
    </row>
  </sheetData>
  <mergeCells count="19">
    <mergeCell ref="A41:F41"/>
    <mergeCell ref="A37:F37"/>
    <mergeCell ref="A21:F21"/>
    <mergeCell ref="A2:F2"/>
    <mergeCell ref="A33:F33"/>
    <mergeCell ref="B45:E45"/>
    <mergeCell ref="A17:F17"/>
    <mergeCell ref="A35:F35"/>
    <mergeCell ref="A4:F4"/>
    <mergeCell ref="B47:E47"/>
    <mergeCell ref="B46:E46"/>
    <mergeCell ref="A19:F19"/>
    <mergeCell ref="B43:E43"/>
    <mergeCell ref="B48:E48"/>
    <mergeCell ref="A31:F31"/>
    <mergeCell ref="A30:F30"/>
    <mergeCell ref="A39:F39"/>
    <mergeCell ref="A1:F1"/>
    <mergeCell ref="B44:E44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1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40" customWidth="1" min="9" max="9"/>
  </cols>
  <sheetData>
    <row r="1" ht="24" customHeight="1">
      <c r="A1" s="1" t="inlineStr">
        <is>
          <t>Літня колекція — собівартість і варіанти цін</t>
        </is>
      </c>
    </row>
    <row r="2" ht="42" customHeight="1">
      <c r="A2" s="2" t="inlineStr">
        <is>
          <t>Джерело: файл «Літо собівартість». Ці моделі ще не продавались, тому історії продажів по них немає. Ціни показані при коефіцієнтах, які рахував сам бренд, плюс ціна, потрібна щоб вийти на цільову маржу.</t>
        </is>
      </c>
    </row>
    <row r="4" ht="32" customHeight="1">
      <c r="A4" s="4" t="inlineStr">
        <is>
          <t>Модель</t>
        </is>
      </c>
      <c r="B4" s="4" t="inlineStr">
        <is>
          <t>Собівартість, грн</t>
        </is>
      </c>
      <c r="C4" s="4" t="inlineStr">
        <is>
          <t>Ціна ×2,5</t>
        </is>
      </c>
      <c r="D4" s="4" t="inlineStr">
        <is>
          <t>Ціна ×3</t>
        </is>
      </c>
      <c r="E4" s="4" t="inlineStr">
        <is>
          <t>Ціна ×5</t>
        </is>
      </c>
      <c r="F4" s="4" t="inlineStr">
        <is>
          <t>Маржа при ×2,5</t>
        </is>
      </c>
      <c r="G4" s="4" t="inlineStr">
        <is>
          <t>Маржа при ×3</t>
        </is>
      </c>
      <c r="H4" s="4" t="inlineStr">
        <is>
          <t>Є в наявності, шт</t>
        </is>
      </c>
      <c r="I4" s="4" t="inlineStr">
        <is>
          <t>Коментар</t>
        </is>
      </c>
    </row>
    <row r="5">
      <c r="A5" s="14" t="inlineStr">
        <is>
          <t>Блузон-жакет</t>
        </is>
      </c>
      <c r="B5" s="52" t="n">
        <v>3815.96</v>
      </c>
      <c r="C5" s="21">
        <f>B5*2.5</f>
        <v/>
      </c>
      <c r="D5" s="21">
        <f>B5*3</f>
        <v/>
      </c>
      <c r="E5" s="21">
        <f>B5*5</f>
        <v/>
      </c>
      <c r="F5" s="22">
        <f>IF(C5=0,0,(C5-B5)/C5)</f>
        <v/>
      </c>
      <c r="G5" s="22">
        <f>IF(D5=0,0,(D5-B5)/D5)</f>
        <v/>
      </c>
      <c r="H5" s="79" t="n">
        <v>3</v>
      </c>
      <c r="I5" s="13" t="inlineStr">
        <is>
          <t>уже пошито, лежить на складі</t>
        </is>
      </c>
    </row>
    <row r="6">
      <c r="A6" s="14" t="inlineStr">
        <is>
          <t>штани</t>
        </is>
      </c>
      <c r="B6" s="52" t="n">
        <v>3874.06</v>
      </c>
      <c r="C6" s="21">
        <f>B6*2.5</f>
        <v/>
      </c>
      <c r="D6" s="21">
        <f>B6*3</f>
        <v/>
      </c>
      <c r="E6" s="21">
        <f>B6*5</f>
        <v/>
      </c>
      <c r="F6" s="22">
        <f>IF(C6=0,0,(C6-B6)/C6)</f>
        <v/>
      </c>
      <c r="G6" s="22">
        <f>IF(D6=0,0,(D6-B6)/D6)</f>
        <v/>
      </c>
      <c r="H6" s="79" t="n"/>
      <c r="I6" s="13" t="inlineStr"/>
    </row>
    <row r="7">
      <c r="A7" s="14" t="inlineStr">
        <is>
          <t>холтер</t>
        </is>
      </c>
      <c r="B7" s="52" t="n">
        <v>3446.86</v>
      </c>
      <c r="C7" s="21">
        <f>B7*2.5</f>
        <v/>
      </c>
      <c r="D7" s="21">
        <f>B7*3</f>
        <v/>
      </c>
      <c r="E7" s="21">
        <f>B7*5</f>
        <v/>
      </c>
      <c r="F7" s="22">
        <f>IF(C7=0,0,(C7-B7)/C7)</f>
        <v/>
      </c>
      <c r="G7" s="22">
        <f>IF(D7=0,0,(D7-B7)/D7)</f>
        <v/>
      </c>
      <c r="H7" s="79" t="n"/>
      <c r="I7" s="13" t="inlineStr"/>
    </row>
    <row r="8">
      <c r="A8" s="14" t="inlineStr">
        <is>
          <t>сукня молочна/червона</t>
        </is>
      </c>
      <c r="B8" s="52" t="n">
        <v>4567.66</v>
      </c>
      <c r="C8" s="21">
        <f>B8*2.5</f>
        <v/>
      </c>
      <c r="D8" s="21">
        <f>B8*3</f>
        <v/>
      </c>
      <c r="E8" s="21">
        <f>B8*5</f>
        <v/>
      </c>
      <c r="F8" s="22">
        <f>IF(C8=0,0,(C8-B8)/C8)</f>
        <v/>
      </c>
      <c r="G8" s="22">
        <f>IF(D8=0,0,(D8-B8)/D8)</f>
        <v/>
      </c>
      <c r="H8" s="79" t="n">
        <v>7</v>
      </c>
      <c r="I8" s="13" t="inlineStr">
        <is>
          <t>уже пошито, лежить на складі</t>
        </is>
      </c>
    </row>
    <row r="9">
      <c r="A9" s="14" t="inlineStr">
        <is>
          <t>сукня чорна</t>
        </is>
      </c>
      <c r="B9" s="52" t="n">
        <v>4373.66</v>
      </c>
      <c r="C9" s="21">
        <f>B9*2.5</f>
        <v/>
      </c>
      <c r="D9" s="21">
        <f>B9*3</f>
        <v/>
      </c>
      <c r="E9" s="21">
        <f>B9*5</f>
        <v/>
      </c>
      <c r="F9" s="22">
        <f>IF(C9=0,0,(C9-B9)/C9)</f>
        <v/>
      </c>
      <c r="G9" s="22">
        <f>IF(D9=0,0,(D9-B9)/D9)</f>
        <v/>
      </c>
      <c r="H9" s="79" t="n">
        <v>2</v>
      </c>
      <c r="I9" s="13" t="inlineStr">
        <is>
          <t>уже пошито, лежить на складі</t>
        </is>
      </c>
    </row>
    <row r="10">
      <c r="A10" s="14" t="inlineStr">
        <is>
          <t>шорти</t>
        </is>
      </c>
      <c r="B10" s="52" t="n">
        <v>2877.96</v>
      </c>
      <c r="C10" s="21">
        <f>B10*2.5</f>
        <v/>
      </c>
      <c r="D10" s="21">
        <f>B10*3</f>
        <v/>
      </c>
      <c r="E10" s="21">
        <f>B10*5</f>
        <v/>
      </c>
      <c r="F10" s="22">
        <f>IF(C10=0,0,(C10-B10)/C10)</f>
        <v/>
      </c>
      <c r="G10" s="22">
        <f>IF(D10=0,0,(D10-B10)/D10)</f>
        <v/>
      </c>
      <c r="H10" s="79" t="n"/>
      <c r="I10" s="13" t="inlineStr"/>
    </row>
    <row r="11">
      <c r="A11" s="23" t="inlineStr">
        <is>
          <t>РАЗОМ у наявності</t>
        </is>
      </c>
      <c r="B11" s="24">
        <f>SUMPRODUCT(B5:B10,H5:H10)</f>
        <v/>
      </c>
      <c r="H11" s="24">
        <f>SUM(H5:H10)</f>
        <v/>
      </c>
      <c r="I11" s="13" t="inlineStr">
        <is>
          <t>у колонці B — вартість наявного за собівартістю</t>
        </is>
      </c>
    </row>
    <row r="13" ht="32" customHeight="1">
      <c r="A13" s="26" t="inlineStr">
        <is>
          <t>Наявність узята зі списку в Аркуші7 файлу «Літо собівартість»: молочний костюм, сукні чорна, червона і молочна вже пошиті. За рішенням власниці цей список трактуємо як ТЕ, ЩО Є НА СКЛАДІ.</t>
        </is>
      </c>
      <c r="B13" s="19" t="n"/>
      <c r="C13" s="19" t="n"/>
      <c r="D13" s="19" t="n"/>
      <c r="E13" s="19" t="n"/>
      <c r="F13" s="19" t="n"/>
      <c r="G13" s="19" t="n"/>
      <c r="H13" s="19" t="n"/>
      <c r="I13" s="20" t="n"/>
    </row>
    <row r="15" ht="52" customHeight="1">
      <c r="A15" s="28" t="inlineStr">
        <is>
          <t>Коефіцієнт ×2,5 дає маржу 60%, ×3 — приблизно 67%. Поточна колекція продається приблизно на ×3 до собівартості найдешевшого підрядника, і саме ця націнка дає нинішні 66% валової маржі. Тобто ×2,5 для літа — це крок ВНИЗ по маржі, і точка беззбитковості від цього підніметься. Якщо літня колекція має бути дешевшою для покупця, компенсувати доведеться обсягом або собівартістю.</t>
        </is>
      </c>
      <c r="B15" s="19" t="n"/>
      <c r="C15" s="19" t="n"/>
      <c r="D15" s="19" t="n"/>
      <c r="E15" s="19" t="n"/>
      <c r="F15" s="19" t="n"/>
      <c r="G15" s="19" t="n"/>
      <c r="H15" s="20" t="n"/>
    </row>
    <row r="17" ht="32" customHeight="1">
      <c r="A17" s="33" t="inlineStr">
        <is>
          <t>Чого бракує, щоб вставити літо в план: очікувані обсяги продажів по кожній моделі і рішення про роздрібні ціни. Щойно вони будуть — ці моделі стануть у Sales Plan і Production Plan нарівні з поточними.</t>
        </is>
      </c>
      <c r="B17" s="19" t="n"/>
      <c r="C17" s="19" t="n"/>
      <c r="D17" s="19" t="n"/>
      <c r="E17" s="19" t="n"/>
      <c r="F17" s="19" t="n"/>
      <c r="G17" s="19" t="n"/>
      <c r="H17" s="19" t="n"/>
      <c r="I17" s="20" t="n"/>
    </row>
  </sheetData>
  <mergeCells count="5">
    <mergeCell ref="A15:H15"/>
    <mergeCell ref="A13:I13"/>
    <mergeCell ref="A2:H2"/>
    <mergeCell ref="A17:I17"/>
    <mergeCell ref="A1:H1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37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6" customWidth="1" min="3" max="3"/>
    <col width="16" customWidth="1" min="4" max="4"/>
    <col width="12" customWidth="1" min="5" max="5"/>
    <col width="54" customWidth="1" min="6" max="6"/>
  </cols>
  <sheetData>
    <row r="1" ht="24" customHeight="1">
      <c r="A1" s="1" t="inlineStr">
        <is>
          <t>Параметри моделі</t>
        </is>
      </c>
    </row>
    <row r="2" ht="42" customHeight="1">
      <c r="A2" s="2" t="inlineStr">
        <is>
          <t>Жовті клітинки задає власниця бренду. Змінюєте тут — перераховуються B2B ціни, Break-even, Sales Plan, Production Plan і Dashboard.</t>
        </is>
      </c>
    </row>
    <row r="4">
      <c r="A4" s="3" t="inlineStr">
        <is>
          <t>Комерційні умови</t>
        </is>
      </c>
    </row>
    <row r="5" ht="32" customHeight="1">
      <c r="A5" s="4" t="inlineStr">
        <is>
          <t>Параметр</t>
        </is>
      </c>
      <c r="B5" s="4" t="inlineStr">
        <is>
          <t>Значення</t>
        </is>
      </c>
      <c r="C5" s="4" t="inlineStr"/>
      <c r="D5" s="4" t="inlineStr"/>
      <c r="E5" s="4" t="inlineStr"/>
      <c r="F5" s="4" t="inlineStr">
        <is>
          <t>Звідки взято / що зробити</t>
        </is>
      </c>
    </row>
    <row r="6">
      <c r="A6" s="14" t="inlineStr">
        <is>
          <t>Комісія шоуруму</t>
        </is>
      </c>
      <c r="B6" s="45" t="n">
        <v>0.4</v>
      </c>
      <c r="F6" s="7" t="inlineStr">
        <is>
          <t>З фінмоделі бренду, аркуш «SKU Economics»</t>
        </is>
      </c>
    </row>
    <row r="7">
      <c r="A7" s="14" t="inlineStr">
        <is>
          <t>Податок з обороту</t>
        </is>
      </c>
      <c r="B7" s="45" t="n">
        <v>0.05</v>
      </c>
      <c r="F7" s="7" t="inlineStr">
        <is>
          <t>ФОП 3 група = 5%. Підтвердити систему оподаткування</t>
        </is>
      </c>
    </row>
    <row r="8">
      <c r="A8" s="14" t="inlineStr">
        <is>
          <t>Комісія оплати і доставки на замовлення, грн</t>
        </is>
      </c>
      <c r="B8" s="44" t="n">
        <v>0</v>
      </c>
      <c r="F8" s="7" t="inlineStr">
        <is>
          <t>Накладений платіж Нової Пошти + еквайринг. Заповнити</t>
        </is>
      </c>
    </row>
    <row r="9">
      <c r="A9" s="14" t="inlineStr">
        <is>
          <t>Частка повернень і невикупів</t>
        </is>
      </c>
      <c r="B9" s="45" t="n">
        <v>0</v>
      </c>
      <c r="F9" s="7" t="inlineStr">
        <is>
          <t>В одязі типово 10–30%. У даних не марковані — заповнити</t>
        </is>
      </c>
    </row>
    <row r="10">
      <c r="A10" s="14" t="inlineStr">
        <is>
          <t>Розробка продукту — постійна витрата? (1 = так, 0 = ні)</t>
        </is>
      </c>
      <c r="B10" s="84" t="n">
        <v>1</v>
      </c>
      <c r="F10" s="7" t="inlineStr">
        <is>
          <t>Ескізи 35 000 грн/міс + відшив взірців. Рішення власниці: OPEX чи інвестиція в колекцію</t>
        </is>
      </c>
    </row>
    <row r="11">
      <c r="A11" s="14" t="inlineStr">
        <is>
          <t>B2B: цільовий внесок з ціни (після податку)</t>
        </is>
      </c>
      <c r="B11" s="45" t="n">
        <v>0.3</v>
      </c>
      <c r="F11" s="7" t="inlineStr">
        <is>
          <t>Скільки з оптової ціни має лишатись бренду понад собівартість. Це замінює множник ×2</t>
        </is>
      </c>
    </row>
    <row r="12">
      <c r="A12" s="14" t="inlineStr">
        <is>
          <t>Націнка партнера на нашу оптову ціну</t>
        </is>
      </c>
      <c r="B12" s="85" t="n">
        <v>2.2</v>
      </c>
      <c r="F12" s="7" t="inlineStr">
        <is>
          <t>Скільки партнер накручує зверху. Задає стелю нашої оптової ціни</t>
        </is>
      </c>
    </row>
    <row r="13">
      <c r="A13" s="14" t="inlineStr">
        <is>
          <t>Округлення B2B ціни, грн</t>
        </is>
      </c>
      <c r="B13" s="44" t="n">
        <v>50</v>
      </c>
      <c r="F13" s="7" t="inlineStr">
        <is>
          <t>До скількох гривень округляти</t>
        </is>
      </c>
    </row>
    <row r="14">
      <c r="A14" s="14" t="inlineStr">
        <is>
          <t>CAC — вартість залучення ОПЛАЧЕНОГО замовлення, грн</t>
        </is>
      </c>
      <c r="B14" s="44" t="n">
        <v>11430</v>
      </c>
      <c r="F14" s="7" t="inlineStr">
        <is>
          <t>Маркетинг 05–07 / 13 оплачених замовлень. НЕ ділити на всі замовлення: ті, що повернулись, грошей не принесли</t>
        </is>
      </c>
    </row>
    <row r="15">
      <c r="A15" s="14" t="inlineStr">
        <is>
          <t>Маркетинг рахувати як змінну витрату? (1 = так)</t>
        </is>
      </c>
      <c r="B15" s="84" t="n">
        <v>1</v>
      </c>
      <c r="F15" s="7" t="inlineStr">
        <is>
          <t>Якщо 1 — маркетинг виходить із постійних і рахується як CAC на кожне замовлення. Це чесніше: більше замовлень = більше витрат на залучення</t>
        </is>
      </c>
    </row>
    <row r="16">
      <c r="A16" s="14" t="inlineStr">
        <is>
          <t>Логістика на одне оплачене замовлення, грн</t>
        </is>
      </c>
      <c r="B16" s="44" t="n">
        <v>1068</v>
      </c>
      <c r="F16" s="7" t="inlineStr">
        <is>
          <t>Логістика 05–07 з урахуванням того, що на 1 оплачене припадає 1,6 невдалих відправлень</t>
        </is>
      </c>
    </row>
    <row r="18">
      <c r="A18" s="3" t="inlineStr">
        <is>
          <t>Рахується з даних — не редагувати</t>
        </is>
      </c>
    </row>
    <row r="19" ht="32" customHeight="1">
      <c r="A19" s="4" t="inlineStr">
        <is>
          <t>Показник</t>
        </is>
      </c>
      <c r="B19" s="4" t="inlineStr">
        <is>
          <t>Значення</t>
        </is>
      </c>
      <c r="C19" s="4" t="inlineStr"/>
      <c r="D19" s="4" t="inlineStr"/>
      <c r="E19" s="4" t="inlineStr"/>
      <c r="F19" s="4" t="inlineStr">
        <is>
          <t>Як порахований</t>
        </is>
      </c>
    </row>
    <row r="20">
      <c r="A20" s="14" t="inlineStr">
        <is>
          <t>Постійні витрати, грн/міс — усі</t>
        </is>
      </c>
      <c r="B20" s="24">
        <f>'Cash Flow'!$C$40</f>
        <v/>
      </c>
      <c r="F20" s="13" t="inlineStr">
        <is>
          <t>Аркуш Cash Flow, блок «Поділ витрат»</t>
        </is>
      </c>
    </row>
    <row r="21">
      <c r="A21" s="14" t="inlineStr">
        <is>
          <t>з них Розробка продукту, грн/міс</t>
        </is>
      </c>
      <c r="B21" s="24">
        <f>'Cash Flow'!$C$41</f>
        <v/>
      </c>
      <c r="F21" s="13" t="inlineStr">
        <is>
          <t>Аркуш Cash Flow</t>
        </is>
      </c>
    </row>
    <row r="22">
      <c r="A22" s="14" t="inlineStr">
        <is>
          <t>Середній чек, грн</t>
        </is>
      </c>
      <c r="B22" s="24">
        <f>'Статуси і канали'!$B$20</f>
        <v/>
      </c>
      <c r="F22" s="13" t="inlineStr">
        <is>
          <t>Аркуш Sales, підсумок по місяцях</t>
        </is>
      </c>
    </row>
    <row r="23">
      <c r="A23" s="14" t="inlineStr">
        <is>
          <t>Одиниць на замовлення</t>
        </is>
      </c>
      <c r="B23" s="86">
        <f>'Статуси і канали'!$B$16/'Статуси і канали'!$B$15</f>
        <v/>
      </c>
      <c r="F23" s="13" t="inlineStr">
        <is>
          <t>Аркуш Sales</t>
        </is>
      </c>
    </row>
    <row r="24">
      <c r="A24" s="14" t="inlineStr">
        <is>
          <t>Валова маржа онлайн, %</t>
        </is>
      </c>
      <c r="B24" s="25">
        <f>'SKU Economics'!$E$15</f>
        <v/>
      </c>
      <c r="F24" s="13" t="inlineStr">
        <is>
          <t>Аркуш SKU Economics, зважена по продажах</t>
        </is>
      </c>
    </row>
    <row r="25">
      <c r="A25" s="14" t="inlineStr">
        <is>
          <t>Середня ціна одиниці, грн</t>
        </is>
      </c>
      <c r="B25" s="24">
        <f>'Статуси і канали'!$B$21</f>
        <v/>
      </c>
      <c r="F25" s="13" t="inlineStr">
        <is>
          <t>Аркуш Sales</t>
        </is>
      </c>
    </row>
    <row r="27">
      <c r="A27" s="5" t="inlineStr">
        <is>
          <t>Fixed OPEX у розрахунку беззбитковості</t>
        </is>
      </c>
      <c r="B27" s="24">
        <f>Параметри!$B$20-IF(Параметри!$B$10=1,0,Параметри!$B$21)</f>
        <v/>
      </c>
      <c r="F27" s="13" t="inlineStr">
        <is>
          <t>Якщо «Розробка продукту» = 0, вона виходить з постійних витрат</t>
        </is>
      </c>
    </row>
    <row r="29">
      <c r="A29" s="3" t="inlineStr">
        <is>
          <t>Сценарії плану продажів</t>
        </is>
      </c>
    </row>
    <row r="30" ht="32" customHeight="1">
      <c r="A30" s="4" t="inlineStr">
        <is>
          <t>Параметр</t>
        </is>
      </c>
      <c r="B30" s="4" t="inlineStr">
        <is>
          <t>Minimum / break-even</t>
        </is>
      </c>
      <c r="C30" s="4" t="inlineStr">
        <is>
          <t>Base plan</t>
        </is>
      </c>
      <c r="D30" s="4" t="inlineStr">
        <is>
          <t>Stretch plan</t>
        </is>
      </c>
      <c r="E30" s="4" t="inlineStr"/>
      <c r="F30" s="4" t="inlineStr">
        <is>
          <t>Коментар</t>
        </is>
      </c>
    </row>
    <row r="31">
      <c r="A31" s="14" t="inlineStr">
        <is>
          <t>Множник до беззбитковості</t>
        </is>
      </c>
      <c r="B31" s="87" t="n">
        <v>1</v>
      </c>
      <c r="C31" s="87" t="n">
        <v>1.3</v>
      </c>
      <c r="D31" s="87" t="n">
        <v>1.8</v>
      </c>
      <c r="F31" s="13" t="inlineStr">
        <is>
          <t>Base і Stretch задає власниця. За замовчуванням +30% і +80% до нуля</t>
        </is>
      </c>
    </row>
    <row r="32">
      <c r="A32" s="14" t="inlineStr">
        <is>
          <t>Частка e-commerce</t>
        </is>
      </c>
      <c r="B32" s="88" t="n">
        <v>1</v>
      </c>
      <c r="C32" s="88" t="n">
        <v>0.7</v>
      </c>
      <c r="D32" s="88" t="n">
        <v>0.55</v>
      </c>
      <c r="F32" s="13" t="inlineStr">
        <is>
          <t>Сайт та Instagram</t>
        </is>
      </c>
    </row>
    <row r="33">
      <c r="A33" s="14" t="inlineStr">
        <is>
          <t>Частка showroom</t>
        </is>
      </c>
      <c r="B33" s="88" t="n">
        <v>0</v>
      </c>
      <c r="C33" s="88" t="n">
        <v>0.25</v>
      </c>
      <c r="D33" s="88" t="n">
        <v>0.3</v>
      </c>
      <c r="F33" s="13" t="inlineStr">
        <is>
          <t>Мінус комісія шоуруму</t>
        </is>
      </c>
    </row>
    <row r="34">
      <c r="A34" s="14" t="inlineStr">
        <is>
          <t>Частка B2B / опт</t>
        </is>
      </c>
      <c r="B34" s="88" t="n">
        <v>0</v>
      </c>
      <c r="C34" s="88" t="n">
        <v>0.05</v>
      </c>
      <c r="D34" s="88" t="n">
        <v>0.15</v>
      </c>
      <c r="F34" s="13" t="inlineStr">
        <is>
          <t>За виведеними цінами з аркуша «B2B ціни»</t>
        </is>
      </c>
    </row>
    <row r="35">
      <c r="A35" s="13" t="inlineStr">
        <is>
          <t>Контроль: сума часток = 100%</t>
        </is>
      </c>
      <c r="B35" s="49">
        <f>B32+B33+B34</f>
        <v/>
      </c>
      <c r="C35" s="49">
        <f>C32+C33+C34</f>
        <v/>
      </c>
      <c r="D35" s="49">
        <f>D32+D33+D34</f>
        <v/>
      </c>
    </row>
    <row r="37" ht="65" customHeight="1">
      <c r="A37" s="33" t="inlineStr">
        <is>
          <t>Про B2B. Оптова ціна тут не «роздріб ділити на два». Вона будується знизу: реальна собівартість → податок → цільовий внесок бренду → перевірка стелею, за якою партнер ще заробляє при своїй націнці. Якщо стеля виявляється нижчою за потрібну ціну — опт за поточної собівартості неможливий, і модель це прямо покаже. Деталі — на аркуші «B2B ціни».</t>
        </is>
      </c>
      <c r="B37" s="19" t="n"/>
      <c r="C37" s="19" t="n"/>
      <c r="D37" s="19" t="n"/>
      <c r="E37" s="19" t="n"/>
      <c r="F37" s="20" t="n"/>
    </row>
  </sheetData>
  <mergeCells count="6">
    <mergeCell ref="A2:F2"/>
    <mergeCell ref="A1:F1"/>
    <mergeCell ref="A37:F37"/>
    <mergeCell ref="A18:F18"/>
    <mergeCell ref="A4:F4"/>
    <mergeCell ref="A29:F29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60" customWidth="1" min="2" max="2"/>
    <col width="38" customWidth="1" min="3" max="3"/>
  </cols>
  <sheetData>
    <row r="1" ht="24" customHeight="1">
      <c r="A1" s="1" t="inlineStr">
        <is>
          <t>Джерела і формули</t>
        </is>
      </c>
    </row>
    <row r="2" ht="42" customHeight="1">
      <c r="A2" s="2" t="inlineStr">
        <is>
          <t>Щоб будь-яку цифру можна було перевірити.</t>
        </is>
      </c>
    </row>
    <row r="4" ht="32" customHeight="1">
      <c r="A4" s="4" t="inlineStr">
        <is>
          <t>Показник</t>
        </is>
      </c>
      <c r="B4" s="4" t="inlineStr">
        <is>
          <t>Як порахований</t>
        </is>
      </c>
      <c r="C4" s="4" t="inlineStr">
        <is>
          <t>Статус</t>
        </is>
      </c>
    </row>
    <row r="5" ht="28" customHeight="1">
      <c r="A5" s="5" t="inlineStr">
        <is>
          <t>Виручка</t>
        </is>
      </c>
      <c r="B5" s="89" t="inlineStr">
        <is>
          <t>Перша грошова колонка CRM («Сума заказа»)</t>
        </is>
      </c>
      <c r="C5" s="7" t="inlineStr">
        <is>
          <t>Замовлення, не Net Sales</t>
        </is>
      </c>
    </row>
    <row r="6" ht="28" customHeight="1">
      <c r="A6" s="5" t="inlineStr">
        <is>
          <t>Собівартість у продажах</t>
        </is>
      </c>
      <c r="B6" s="89" t="inlineStr">
        <is>
          <t>Сума замовлення − Маржа (остання грошова колонка CRM)</t>
        </is>
      </c>
      <c r="C6" s="7" t="inlineStr">
        <is>
          <t>Звірено з файлами бренду: середня похибка 2,5%</t>
        </is>
      </c>
    </row>
    <row r="7" ht="28" customHeight="1">
      <c r="A7" s="5" t="inlineStr">
        <is>
          <t>Собівартість у моделі</t>
        </is>
      </c>
      <c r="B7" s="89" t="inlineStr">
        <is>
          <t>Файли «Розрахунок націнки» і «Літо собівартість», колонка «Обрана»</t>
        </is>
      </c>
      <c r="C7" s="7" t="inlineStr">
        <is>
          <t>За замовчуванням — найдешевший підрядник</t>
        </is>
      </c>
    </row>
    <row r="8" ht="28" customHeight="1">
      <c r="A8" s="5" t="inlineStr">
        <is>
          <t>Retail price</t>
        </is>
      </c>
      <c r="B8" s="89" t="inlineStr">
        <is>
          <t>Файл «Розрахунок націнки», колонка «Фін ціна»</t>
        </is>
      </c>
      <c r="C8" s="7" t="inlineStr">
        <is>
          <t>Реальні ціни бренду</t>
        </is>
      </c>
    </row>
    <row r="9" ht="28" customHeight="1">
      <c r="A9" s="5" t="inlineStr">
        <is>
          <t>Маржа showroom</t>
        </is>
      </c>
      <c r="B9" s="89" t="inlineStr">
        <is>
          <t>Retail × (1 − комісія) − собівартість</t>
        </is>
      </c>
      <c r="C9" s="7" t="inlineStr">
        <is>
          <t>Комісія 40% з фінмоделі</t>
        </is>
      </c>
    </row>
    <row r="10" ht="28" customHeight="1">
      <c r="A10" s="5" t="inlineStr">
        <is>
          <t>B2B ціна</t>
        </is>
      </c>
      <c r="B10" s="89" t="inlineStr">
        <is>
          <t>MIN(стеля; MAX(підлога; ціна за цільовим внеском)), округлено</t>
        </is>
      </c>
      <c r="C10" s="7" t="inlineStr">
        <is>
          <t>Виведена з планування, не множник</t>
        </is>
      </c>
    </row>
    <row r="11" ht="28" customHeight="1">
      <c r="A11" s="14" t="inlineStr">
        <is>
          <t xml:space="preserve">   підлога</t>
        </is>
      </c>
      <c r="B11" s="89" t="inlineStr">
        <is>
          <t>собівартість / (1 − податок)</t>
        </is>
      </c>
      <c r="C11" s="7" t="inlineStr">
        <is>
          <t>Нижче — продаж у мінус</t>
        </is>
      </c>
    </row>
    <row r="12" ht="28" customHeight="1">
      <c r="A12" s="14" t="inlineStr">
        <is>
          <t xml:space="preserve">   ціна за внеском</t>
        </is>
      </c>
      <c r="B12" s="89" t="inlineStr">
        <is>
          <t>собівартість / (1 − податок − цільовий внесок)</t>
        </is>
      </c>
      <c r="C12" s="7" t="inlineStr">
        <is>
          <t>Внесок задається в «Параметрах»</t>
        </is>
      </c>
    </row>
    <row r="13" ht="28" customHeight="1">
      <c r="A13" s="14" t="inlineStr">
        <is>
          <t xml:space="preserve">   стеля</t>
        </is>
      </c>
      <c r="B13" s="89" t="inlineStr">
        <is>
          <t>Retail / націнка партнера</t>
        </is>
      </c>
      <c r="C13" s="7" t="inlineStr">
        <is>
          <t>Щоб партнер не був дорожчим за наш сайт</t>
        </is>
      </c>
    </row>
    <row r="14" ht="28" customHeight="1">
      <c r="A14" s="5" t="inlineStr">
        <is>
          <t>Fixed OPEX</t>
        </is>
      </c>
      <c r="B14" s="89" t="inlineStr">
        <is>
          <t>ФОП + адмін + IT + маркетинг + розробка продукту, / 3 місяці</t>
        </is>
      </c>
      <c r="C14" s="7" t="inlineStr">
        <is>
          <t>Травень–липень</t>
        </is>
      </c>
    </row>
    <row r="15" ht="28" customHeight="1">
      <c r="A15" s="5" t="inlineStr">
        <is>
          <t>Contribution margin</t>
        </is>
      </c>
      <c r="B15" s="89" t="inlineStr">
        <is>
          <t>Валова маржа каналу − податок − повернення − комісії</t>
        </is>
      </c>
      <c r="C15" s="7" t="inlineStr">
        <is>
          <t>Параметри задаються</t>
        </is>
      </c>
    </row>
    <row r="16" ht="28" customHeight="1">
      <c r="A16" s="5" t="inlineStr">
        <is>
          <t>Беззбиткова виручка</t>
        </is>
      </c>
      <c r="B16" s="89" t="inlineStr">
        <is>
          <t>Fixed OPEX / contribution margin міксу</t>
        </is>
      </c>
      <c r="C16" s="7" t="inlineStr">
        <is>
          <t>Кілька варіантів</t>
        </is>
      </c>
    </row>
    <row r="17" ht="28" customHeight="1">
      <c r="A17" s="5" t="inlineStr">
        <is>
          <t>Sell-through</t>
        </is>
      </c>
      <c r="B17" s="89" t="inlineStr">
        <is>
          <t>Продано / (наявність + продано)</t>
        </is>
      </c>
      <c r="C17" s="7" t="inlineStr">
        <is>
          <t>Залежить від підтвердження списку наявності</t>
        </is>
      </c>
    </row>
    <row r="18" ht="28" customHeight="1">
      <c r="A18" s="5" t="inlineStr">
        <is>
          <t>Потреба у виробництві</t>
        </is>
      </c>
      <c r="B18" s="89" t="inlineStr">
        <is>
          <t>Одиниць Base × частка SKU × 3 міс − наявність</t>
        </is>
      </c>
      <c r="C18" s="7" t="inlineStr"/>
    </row>
    <row r="20" ht="130" customHeight="1">
      <c r="A20" s="33" t="inlineStr">
        <is>
          <t>Що прийнято за замовчуванням: періоди вигрузок не збігаються (продажі з 23.03, Cash Flow з 01.05), тому P&amp;L «з моменту запуску» не будується. Серпень у Cash Flow неповний. Одне замовлення (№363) має нульову собівартість у CRM. Логістика — у змінних витратах, «Розробка продукту» — у постійних. Експортний прайс у євро не використовується: бренд повідомив, що ті прорахунки неточні.</t>
        </is>
      </c>
      <c r="B20" s="19" t="n"/>
      <c r="C20" s="20" t="n"/>
    </row>
  </sheetData>
  <mergeCells count="3">
    <mergeCell ref="A1:C1"/>
    <mergeCell ref="A20:C20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2026-08-06T10:28:32Z</dcterms:created>
  <dcterms:modified xmlns:dcterms="http://purl.org/dc/terms/" xmlns:xsi="http://www.w3.org/2001/XMLSchema-instance" xsi:type="dcterms:W3CDTF">2026-08-06T10:28:32Z</dcterms:modified>
</cp:coreProperties>
</file>